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40" yWindow="80" windowWidth="12120" windowHeight="7590" tabRatio="409"/>
  </bookViews>
  <sheets>
    <sheet name="2016" sheetId="5" r:id="rId1"/>
    <sheet name="Feuil3" sheetId="3" r:id="rId2"/>
  </sheets>
  <definedNames>
    <definedName name="_xlnm.Print_Area" localSheetId="0">'2016'!$A$1:$L$58</definedName>
    <definedName name="_xlnm.Print_Titles" localSheetId="0">'2016'!$1:$5</definedName>
  </definedNames>
  <calcPr calcId="145621"/>
</workbook>
</file>

<file path=xl/calcChain.xml><?xml version="1.0" encoding="utf-8"?>
<calcChain xmlns="http://schemas.openxmlformats.org/spreadsheetml/2006/main">
  <c r="D14" i="5" l="1"/>
  <c r="F14" i="5"/>
  <c r="C23" i="5" l="1"/>
  <c r="C25" i="5"/>
  <c r="D52" i="5" l="1"/>
  <c r="E32" i="5" l="1"/>
  <c r="E35" i="5" l="1"/>
  <c r="D15" i="5"/>
  <c r="A10" i="3"/>
  <c r="D50" i="5" l="1"/>
  <c r="C19" i="5"/>
  <c r="H35" i="5"/>
  <c r="H36" i="5" s="1"/>
  <c r="E16" i="5"/>
  <c r="C18" i="5"/>
  <c r="I27" i="5"/>
  <c r="I36" i="5"/>
  <c r="I37" i="5" s="1"/>
  <c r="C11" i="5"/>
  <c r="C10" i="5"/>
  <c r="C17" i="5"/>
  <c r="C21" i="5"/>
  <c r="C20" i="5"/>
  <c r="C14" i="5"/>
  <c r="C32" i="5"/>
  <c r="C33" i="5"/>
  <c r="C31" i="5"/>
  <c r="D34" i="5"/>
  <c r="J36" i="5"/>
  <c r="E36" i="5"/>
  <c r="K35" i="5"/>
  <c r="K36" i="5"/>
  <c r="H27" i="5"/>
  <c r="H29" i="5"/>
  <c r="L29" i="5"/>
  <c r="L36" i="5"/>
  <c r="L27" i="5"/>
  <c r="D51" i="5"/>
  <c r="C16" i="5"/>
  <c r="K27" i="5"/>
  <c r="K37" i="5" s="1"/>
  <c r="K29" i="5"/>
  <c r="J29" i="5"/>
  <c r="F29" i="5"/>
  <c r="E29" i="5"/>
  <c r="G29" i="5"/>
  <c r="G27" i="5"/>
  <c r="J27" i="5"/>
  <c r="D29" i="5"/>
  <c r="F27" i="5"/>
  <c r="C15" i="5"/>
  <c r="E27" i="5"/>
  <c r="C34" i="5"/>
  <c r="F36" i="5"/>
  <c r="I38" i="5" l="1"/>
  <c r="D53" i="5"/>
  <c r="J53" i="5" s="1"/>
  <c r="D27" i="5"/>
  <c r="K38" i="5"/>
  <c r="L37" i="5"/>
  <c r="H37" i="5"/>
  <c r="H38" i="5"/>
  <c r="L38" i="5"/>
  <c r="J37" i="5"/>
  <c r="F37" i="5"/>
  <c r="F38" i="5"/>
  <c r="C27" i="5"/>
  <c r="E38" i="5"/>
  <c r="E37" i="5"/>
  <c r="J38" i="5"/>
  <c r="G36" i="5"/>
  <c r="G38" i="5" s="1"/>
  <c r="D35" i="5" l="1"/>
  <c r="C35" i="5"/>
  <c r="C36" i="5" s="1"/>
  <c r="C38" i="5" s="1"/>
  <c r="G37" i="5"/>
  <c r="D36" i="5" l="1"/>
  <c r="D38" i="5" l="1"/>
  <c r="D43" i="5"/>
  <c r="D45" i="5" s="1"/>
  <c r="D37" i="5"/>
  <c r="H45" i="5" l="1"/>
  <c r="G47" i="5"/>
  <c r="D54" i="5"/>
  <c r="G45" i="5"/>
  <c r="D47" i="5"/>
  <c r="J47" i="5" l="1"/>
  <c r="D56" i="5"/>
  <c r="J49" i="5" s="1"/>
  <c r="J50" i="5" s="1"/>
  <c r="J52" i="5"/>
  <c r="J54" i="5" s="1"/>
  <c r="G53" i="5"/>
  <c r="G55" i="5" s="1"/>
</calcChain>
</file>

<file path=xl/sharedStrings.xml><?xml version="1.0" encoding="utf-8"?>
<sst xmlns="http://schemas.openxmlformats.org/spreadsheetml/2006/main" count="70" uniqueCount="66">
  <si>
    <t>INCOME</t>
  </si>
  <si>
    <t>TOTAL</t>
  </si>
  <si>
    <t>Total Income</t>
  </si>
  <si>
    <t>Staff cost</t>
  </si>
  <si>
    <t>CORE</t>
  </si>
  <si>
    <t xml:space="preserve"> </t>
  </si>
  <si>
    <t>Total expenditures</t>
  </si>
  <si>
    <t>EXPENDITURE</t>
  </si>
  <si>
    <t>Total income</t>
  </si>
  <si>
    <t>budget</t>
  </si>
  <si>
    <t>Incomes</t>
  </si>
  <si>
    <t>max EC grant</t>
  </si>
  <si>
    <t>Result</t>
  </si>
  <si>
    <t>Co-fin to engage</t>
  </si>
  <si>
    <t>ENAR AISBL</t>
  </si>
  <si>
    <t>Saldo co-financing</t>
  </si>
  <si>
    <t>EC grant 80% total expenditures</t>
  </si>
  <si>
    <t>Total Co-financing</t>
  </si>
  <si>
    <t>RDIS</t>
  </si>
  <si>
    <t>not engaged at the end 12/2015</t>
  </si>
  <si>
    <t>OSFFP</t>
  </si>
  <si>
    <t>OSFNP</t>
  </si>
  <si>
    <t>OSFRE</t>
  </si>
  <si>
    <t>SRTRE</t>
  </si>
  <si>
    <t>RDIS                     Expenditures</t>
  </si>
  <si>
    <t>EC RDIS Grant</t>
  </si>
  <si>
    <t>Membership fees</t>
  </si>
  <si>
    <t>Travel</t>
  </si>
  <si>
    <t>OSFBC</t>
  </si>
  <si>
    <t>Actual till 12/2016</t>
  </si>
  <si>
    <t>Activity costs (60500+60700+60770+60760+60750 )</t>
  </si>
  <si>
    <t>OSF Formation Professionnel ref. OR2015-24071</t>
  </si>
  <si>
    <t>OSF Black Caucus ref. OR2016-29896</t>
  </si>
  <si>
    <t>Sigrid Rausing core/regranting/other ref. 06/11/2015</t>
  </si>
  <si>
    <t>OSF Core grant RDIS &amp; OSF National projects ref. OR2014-18200</t>
  </si>
  <si>
    <t>OSF Forgotten Women &amp; regranting ref. OR2015-21857</t>
  </si>
  <si>
    <t>OSF Migration project ref. OR2016-30812</t>
  </si>
  <si>
    <t>OSFMI</t>
  </si>
  <si>
    <t>SRTEX</t>
  </si>
  <si>
    <t>OSF Core grant RDIS</t>
  </si>
  <si>
    <t>OSF Forgotten Women ref. OR2015-21857</t>
  </si>
  <si>
    <t>Sigrid Rausing Core ref. 06/11/2015</t>
  </si>
  <si>
    <t>Subsistence</t>
  </si>
  <si>
    <t>EC recieved</t>
  </si>
  <si>
    <t>EC contribution</t>
  </si>
  <si>
    <t>To be recieved</t>
  </si>
  <si>
    <t>Co fin to engage</t>
  </si>
  <si>
    <t>Co fin recieved</t>
  </si>
  <si>
    <t>Difference</t>
  </si>
  <si>
    <t>OSF Migration project ref. OR2016-30812 report</t>
  </si>
  <si>
    <t>Co-fin en trop</t>
  </si>
  <si>
    <t>OTHER</t>
  </si>
  <si>
    <t>Provision salaries</t>
  </si>
  <si>
    <t>Other costs</t>
  </si>
  <si>
    <t>Loss deduction</t>
  </si>
  <si>
    <t>Provision salaries required by law</t>
  </si>
  <si>
    <t>Global overview 2016</t>
  </si>
  <si>
    <t>See report no. 3</t>
  </si>
  <si>
    <t>See report no. 1</t>
  </si>
  <si>
    <t>See report no. 2</t>
  </si>
  <si>
    <t>See report no. 4</t>
  </si>
  <si>
    <t>OSF</t>
  </si>
  <si>
    <t>SRT</t>
  </si>
  <si>
    <t>General provision by OSF</t>
  </si>
  <si>
    <t>General provision by SRT</t>
  </si>
  <si>
    <t>Guarantee office required by law by SRT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</si>
</sst>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[Red]\-#,##0.00\ &quot;€&quot;"/>
    <numFmt numFmtId="165" formatCode="#,##0.00\ &quot;€&quot;"/>
    <numFmt numFmtId="166" formatCode="#,##0.00\ _€"/>
    <numFmt numFmtId="167" formatCode="&quot;€&quot;\ #,##0.00"/>
  </numFmts>
  <fonts count="7" x14ac:knownFonts="1">
    <font>
      <sz val="10"/>
      <name val="Arial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 applyBorder="1"/>
    <xf numFmtId="167" fontId="1" fillId="0" borderId="0" xfId="0" applyNumberFormat="1" applyFont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1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3" xfId="0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0" xfId="0" applyNumberFormat="1" applyFont="1" applyBorder="1"/>
    <xf numFmtId="0" fontId="5" fillId="0" borderId="0" xfId="0" applyFont="1"/>
    <xf numFmtId="0" fontId="4" fillId="0" borderId="5" xfId="0" applyFont="1" applyBorder="1" applyAlignment="1">
      <alignment horizontal="left"/>
    </xf>
    <xf numFmtId="0" fontId="5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5" fillId="0" borderId="6" xfId="0" applyFont="1" applyBorder="1"/>
    <xf numFmtId="0" fontId="4" fillId="0" borderId="7" xfId="0" applyFont="1" applyBorder="1" applyAlignment="1">
      <alignment horizontal="left"/>
    </xf>
    <xf numFmtId="0" fontId="5" fillId="0" borderId="7" xfId="0" applyFont="1" applyBorder="1"/>
    <xf numFmtId="166" fontId="5" fillId="0" borderId="0" xfId="0" applyNumberFormat="1" applyFont="1" applyBorder="1"/>
    <xf numFmtId="10" fontId="5" fillId="0" borderId="0" xfId="0" applyNumberFormat="1" applyFont="1" applyBorder="1"/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8" xfId="0" applyNumberFormat="1" applyFont="1" applyBorder="1"/>
    <xf numFmtId="165" fontId="5" fillId="0" borderId="9" xfId="0" applyNumberFormat="1" applyFont="1" applyBorder="1"/>
    <xf numFmtId="165" fontId="5" fillId="0" borderId="10" xfId="0" applyNumberFormat="1" applyFont="1" applyBorder="1"/>
    <xf numFmtId="0" fontId="6" fillId="0" borderId="0" xfId="0" applyFont="1" applyBorder="1"/>
    <xf numFmtId="165" fontId="5" fillId="0" borderId="0" xfId="0" applyNumberFormat="1" applyFont="1"/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65" fontId="5" fillId="0" borderId="12" xfId="0" applyNumberFormat="1" applyFont="1" applyBorder="1"/>
    <xf numFmtId="165" fontId="5" fillId="0" borderId="12" xfId="0" applyNumberFormat="1" applyFont="1" applyFill="1" applyBorder="1"/>
    <xf numFmtId="165" fontId="4" fillId="0" borderId="13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14" xfId="0" applyNumberFormat="1" applyFont="1" applyBorder="1"/>
    <xf numFmtId="0" fontId="5" fillId="0" borderId="7" xfId="0" applyFont="1" applyFill="1" applyBorder="1"/>
    <xf numFmtId="0" fontId="4" fillId="0" borderId="0" xfId="0" applyFont="1" applyBorder="1" applyAlignment="1">
      <alignment horizontal="center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4" fillId="0" borderId="13" xfId="0" applyFont="1" applyFill="1" applyBorder="1"/>
    <xf numFmtId="0" fontId="5" fillId="0" borderId="0" xfId="0" applyFont="1" applyFill="1" applyBorder="1"/>
    <xf numFmtId="0" fontId="4" fillId="0" borderId="9" xfId="0" applyFont="1" applyFill="1" applyBorder="1"/>
    <xf numFmtId="165" fontId="4" fillId="0" borderId="13" xfId="0" applyNumberFormat="1" applyFont="1" applyFill="1" applyBorder="1"/>
    <xf numFmtId="165" fontId="5" fillId="0" borderId="0" xfId="0" applyNumberFormat="1" applyFont="1" applyFill="1" applyBorder="1"/>
    <xf numFmtId="0" fontId="4" fillId="0" borderId="14" xfId="0" applyFont="1" applyFill="1" applyBorder="1" applyAlignment="1">
      <alignment horizontal="center"/>
    </xf>
    <xf numFmtId="165" fontId="4" fillId="2" borderId="14" xfId="0" applyNumberFormat="1" applyFont="1" applyFill="1" applyBorder="1"/>
    <xf numFmtId="165" fontId="4" fillId="2" borderId="3" xfId="0" applyNumberFormat="1" applyFont="1" applyFill="1" applyBorder="1"/>
    <xf numFmtId="165" fontId="4" fillId="3" borderId="14" xfId="0" applyNumberFormat="1" applyFont="1" applyFill="1" applyBorder="1"/>
    <xf numFmtId="0" fontId="1" fillId="0" borderId="0" xfId="0" applyFont="1" applyBorder="1" applyAlignment="1">
      <alignment horizontal="center"/>
    </xf>
    <xf numFmtId="0" fontId="5" fillId="0" borderId="14" xfId="0" applyFont="1" applyBorder="1"/>
    <xf numFmtId="165" fontId="5" fillId="0" borderId="14" xfId="0" applyNumberFormat="1" applyFont="1" applyBorder="1"/>
    <xf numFmtId="165" fontId="4" fillId="0" borderId="0" xfId="0" applyNumberFormat="1" applyFont="1" applyFill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164" fontId="5" fillId="0" borderId="2" xfId="0" applyNumberFormat="1" applyFont="1" applyBorder="1"/>
    <xf numFmtId="165" fontId="5" fillId="0" borderId="7" xfId="0" applyNumberFormat="1" applyFont="1" applyBorder="1"/>
    <xf numFmtId="165" fontId="5" fillId="0" borderId="2" xfId="0" applyNumberFormat="1" applyFont="1" applyBorder="1"/>
    <xf numFmtId="165" fontId="5" fillId="0" borderId="11" xfId="0" applyNumberFormat="1" applyFont="1" applyBorder="1"/>
    <xf numFmtId="165" fontId="5" fillId="0" borderId="4" xfId="0" applyNumberFormat="1" applyFont="1" applyBorder="1"/>
    <xf numFmtId="0" fontId="1" fillId="4" borderId="0" xfId="0" applyFont="1" applyFill="1" applyBorder="1"/>
    <xf numFmtId="165" fontId="4" fillId="4" borderId="13" xfId="0" applyNumberFormat="1" applyFont="1" applyFill="1" applyBorder="1"/>
    <xf numFmtId="165" fontId="5" fillId="4" borderId="12" xfId="0" applyNumberFormat="1" applyFont="1" applyFill="1" applyBorder="1"/>
    <xf numFmtId="0" fontId="5" fillId="4" borderId="1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right"/>
    </xf>
    <xf numFmtId="0" fontId="5" fillId="4" borderId="12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14" fontId="4" fillId="0" borderId="0" xfId="0" applyNumberFormat="1" applyFont="1"/>
    <xf numFmtId="165" fontId="1" fillId="4" borderId="0" xfId="0" applyNumberFormat="1" applyFont="1" applyFill="1" applyBorder="1"/>
    <xf numFmtId="165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zoomScale="60" zoomScaleNormal="60" workbookViewId="0">
      <selection activeCell="N28" sqref="N28"/>
    </sheetView>
  </sheetViews>
  <sheetFormatPr defaultColWidth="9.1796875" defaultRowHeight="13.5" x14ac:dyDescent="0.25"/>
  <cols>
    <col min="1" max="1" width="5" style="1" customWidth="1"/>
    <col min="2" max="2" width="52.08984375" style="1" customWidth="1"/>
    <col min="3" max="3" width="35.7265625" style="1" customWidth="1"/>
    <col min="4" max="4" width="18.453125" style="1" customWidth="1"/>
    <col min="5" max="5" width="24.26953125" style="1" customWidth="1"/>
    <col min="6" max="6" width="22.6328125" style="1" customWidth="1"/>
    <col min="7" max="7" width="22.26953125" style="1" customWidth="1"/>
    <col min="8" max="8" width="22.453125" style="1" customWidth="1"/>
    <col min="9" max="9" width="16.08984375" style="1" customWidth="1"/>
    <col min="10" max="10" width="15.81640625" style="1" customWidth="1"/>
    <col min="11" max="11" width="17.90625" style="1" customWidth="1"/>
    <col min="12" max="12" width="16" style="1" customWidth="1"/>
    <col min="13" max="13" width="15.26953125" style="1" customWidth="1"/>
    <col min="14" max="14" width="36.6328125" style="1" customWidth="1"/>
    <col min="15" max="16" width="20" style="1" customWidth="1"/>
    <col min="17" max="17" width="15.54296875" style="1" bestFit="1" customWidth="1"/>
    <col min="18" max="18" width="16.453125" style="1" bestFit="1" customWidth="1"/>
    <col min="19" max="16384" width="9.1796875" style="1"/>
  </cols>
  <sheetData>
    <row r="1" spans="1:15" ht="15" x14ac:dyDescent="0.3">
      <c r="A1" s="5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</row>
    <row r="2" spans="1:15" ht="15" x14ac:dyDescent="0.3">
      <c r="B2" s="11" t="s">
        <v>14</v>
      </c>
      <c r="C2" s="89">
        <v>42735</v>
      </c>
      <c r="D2" s="11"/>
      <c r="E2" s="11"/>
      <c r="F2" s="11"/>
      <c r="G2" s="11"/>
      <c r="H2" s="11"/>
      <c r="I2" s="11"/>
      <c r="J2" s="11"/>
      <c r="K2" s="12" t="s">
        <v>56</v>
      </c>
      <c r="L2" s="12"/>
    </row>
    <row r="3" spans="1:15" ht="15" x14ac:dyDescent="0.3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5" ht="15" x14ac:dyDescent="0.3"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</row>
    <row r="5" spans="1:15" ht="15" x14ac:dyDescent="0.3">
      <c r="B5" s="13"/>
      <c r="C5" s="13"/>
      <c r="D5" s="57"/>
      <c r="E5" s="57"/>
      <c r="F5" s="57"/>
      <c r="G5" s="57"/>
      <c r="H5" s="57"/>
      <c r="I5" s="57"/>
      <c r="J5" s="57"/>
      <c r="K5" s="57"/>
      <c r="L5" s="57"/>
    </row>
    <row r="6" spans="1:15" ht="21" customHeight="1" thickBot="1" x14ac:dyDescent="0.35">
      <c r="B6" s="13"/>
      <c r="C6" s="13"/>
      <c r="D6" s="13"/>
      <c r="E6" s="53" t="s">
        <v>57</v>
      </c>
      <c r="F6" s="53" t="s">
        <v>58</v>
      </c>
      <c r="G6" s="53" t="s">
        <v>59</v>
      </c>
      <c r="H6" s="53" t="s">
        <v>60</v>
      </c>
      <c r="I6" s="53"/>
      <c r="J6" s="53"/>
      <c r="K6" s="53"/>
      <c r="L6" s="54"/>
    </row>
    <row r="7" spans="1:15" s="6" customFormat="1" ht="15.5" thickBot="1" x14ac:dyDescent="0.35">
      <c r="A7" s="70"/>
      <c r="B7" s="49" t="s">
        <v>0</v>
      </c>
      <c r="C7" s="50" t="s">
        <v>1</v>
      </c>
      <c r="D7" s="50" t="s">
        <v>18</v>
      </c>
      <c r="E7" s="66" t="s">
        <v>20</v>
      </c>
      <c r="F7" s="66" t="s">
        <v>21</v>
      </c>
      <c r="G7" s="66" t="s">
        <v>22</v>
      </c>
      <c r="H7" s="66" t="s">
        <v>28</v>
      </c>
      <c r="I7" s="66" t="s">
        <v>37</v>
      </c>
      <c r="J7" s="66" t="s">
        <v>23</v>
      </c>
      <c r="K7" s="66" t="s">
        <v>38</v>
      </c>
      <c r="L7" s="66" t="s">
        <v>51</v>
      </c>
    </row>
    <row r="8" spans="1:15" ht="15" x14ac:dyDescent="0.3">
      <c r="A8" s="2"/>
      <c r="B8" s="42"/>
      <c r="C8" s="43"/>
      <c r="D8" s="44"/>
      <c r="E8" s="44"/>
      <c r="F8" s="44"/>
      <c r="G8" s="44"/>
      <c r="H8" s="44"/>
      <c r="I8" s="44"/>
      <c r="J8" s="44"/>
      <c r="K8" s="43"/>
      <c r="L8" s="43"/>
    </row>
    <row r="9" spans="1:15" ht="15" x14ac:dyDescent="0.3">
      <c r="A9" s="2"/>
      <c r="B9" s="45"/>
      <c r="C9" s="45"/>
      <c r="D9" s="45"/>
      <c r="E9" s="47"/>
      <c r="F9" s="45"/>
      <c r="G9" s="45"/>
      <c r="H9" s="45"/>
      <c r="I9" s="45"/>
      <c r="J9" s="45"/>
      <c r="K9" s="45"/>
      <c r="L9" s="45"/>
      <c r="M9" s="2"/>
    </row>
    <row r="10" spans="1:15" ht="15" x14ac:dyDescent="0.3">
      <c r="A10" s="2"/>
      <c r="B10" s="58" t="s">
        <v>25</v>
      </c>
      <c r="C10" s="47">
        <f>SUM(D10:L10)</f>
        <v>899523.07</v>
      </c>
      <c r="D10" s="47">
        <v>899523.07</v>
      </c>
      <c r="E10" s="47"/>
      <c r="F10" s="47"/>
      <c r="G10" s="47"/>
      <c r="H10" s="47"/>
      <c r="I10" s="47"/>
      <c r="J10" s="47"/>
      <c r="K10" s="47"/>
      <c r="L10" s="47"/>
      <c r="M10" s="3"/>
      <c r="N10" s="7"/>
      <c r="O10" s="7"/>
    </row>
    <row r="11" spans="1:15" ht="15" x14ac:dyDescent="0.3">
      <c r="A11" s="2"/>
      <c r="B11" s="85" t="s">
        <v>19</v>
      </c>
      <c r="C11" s="47">
        <f>SUM(D11:L11)</f>
        <v>-119090.09</v>
      </c>
      <c r="D11" s="47">
        <v>-119090.09</v>
      </c>
      <c r="E11" s="47"/>
      <c r="F11" s="47"/>
      <c r="G11" s="47"/>
      <c r="H11" s="47"/>
      <c r="I11" s="47"/>
      <c r="J11" s="47"/>
      <c r="K11" s="47"/>
      <c r="L11" s="47"/>
      <c r="M11" s="3"/>
      <c r="N11" s="7"/>
      <c r="O11" s="7"/>
    </row>
    <row r="12" spans="1:15" ht="15" x14ac:dyDescent="0.3">
      <c r="A12" s="2"/>
      <c r="B12" s="8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90"/>
      <c r="N12" s="91"/>
      <c r="O12" s="91"/>
    </row>
    <row r="13" spans="1:15" ht="15" x14ac:dyDescent="0.3">
      <c r="A13" s="2"/>
      <c r="B13" s="8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90"/>
      <c r="N13" s="91"/>
      <c r="O13" s="91"/>
    </row>
    <row r="14" spans="1:15" ht="15" x14ac:dyDescent="0.3">
      <c r="A14" s="2"/>
      <c r="B14" s="84" t="s">
        <v>34</v>
      </c>
      <c r="C14" s="83">
        <f t="shared" ref="C14:C25" si="0">SUM(D14:L14)</f>
        <v>121709.66</v>
      </c>
      <c r="D14" s="83">
        <f>62446.54+24263.12-5000-2000-379.16</f>
        <v>79330.5</v>
      </c>
      <c r="E14" s="83"/>
      <c r="F14" s="83">
        <f>40000+2000+379.16</f>
        <v>42379.16</v>
      </c>
      <c r="G14" s="83"/>
      <c r="H14" s="83"/>
      <c r="I14" s="83"/>
      <c r="J14" s="83"/>
      <c r="K14" s="83"/>
      <c r="L14" s="83"/>
      <c r="M14" s="3"/>
      <c r="N14" s="7"/>
      <c r="O14" s="7"/>
    </row>
    <row r="15" spans="1:15" ht="15" x14ac:dyDescent="0.3">
      <c r="A15" s="2"/>
      <c r="B15" s="86" t="s">
        <v>35</v>
      </c>
      <c r="C15" s="83">
        <f t="shared" si="0"/>
        <v>112505.34</v>
      </c>
      <c r="D15" s="83">
        <f>56493.58+5862.41</f>
        <v>62355.990000000005</v>
      </c>
      <c r="E15" s="83"/>
      <c r="F15" s="83"/>
      <c r="G15" s="83">
        <v>50149.35</v>
      </c>
      <c r="H15" s="83"/>
      <c r="I15" s="83"/>
      <c r="J15" s="83"/>
      <c r="K15" s="83"/>
      <c r="L15" s="83"/>
      <c r="M15" s="3"/>
      <c r="N15" s="7"/>
      <c r="O15" s="7"/>
    </row>
    <row r="16" spans="1:15" ht="15" x14ac:dyDescent="0.3">
      <c r="A16" s="2"/>
      <c r="B16" s="86" t="s">
        <v>31</v>
      </c>
      <c r="C16" s="83">
        <f t="shared" si="0"/>
        <v>15564.419999999998</v>
      </c>
      <c r="D16" s="83">
        <v>0</v>
      </c>
      <c r="E16" s="83">
        <f>14045.38+1519.04</f>
        <v>15564.419999999998</v>
      </c>
      <c r="F16" s="83"/>
      <c r="G16" s="83"/>
      <c r="H16" s="83"/>
      <c r="I16" s="83"/>
      <c r="J16" s="83"/>
      <c r="K16" s="83"/>
      <c r="L16" s="83"/>
      <c r="M16" s="3"/>
      <c r="N16" s="7"/>
      <c r="O16" s="7"/>
    </row>
    <row r="17" spans="1:15" ht="15" x14ac:dyDescent="0.3">
      <c r="A17" s="2"/>
      <c r="B17" s="86" t="s">
        <v>32</v>
      </c>
      <c r="C17" s="83">
        <f t="shared" si="0"/>
        <v>22024.49</v>
      </c>
      <c r="D17" s="83"/>
      <c r="E17" s="83"/>
      <c r="F17" s="83"/>
      <c r="G17" s="83"/>
      <c r="H17" s="83">
        <v>22024.49</v>
      </c>
      <c r="I17" s="83"/>
      <c r="J17" s="83"/>
      <c r="K17" s="83"/>
      <c r="L17" s="83"/>
      <c r="M17" s="3"/>
      <c r="N17" s="7"/>
      <c r="O17" s="7"/>
    </row>
    <row r="18" spans="1:15" ht="15" x14ac:dyDescent="0.3">
      <c r="A18" s="2"/>
      <c r="B18" s="84" t="s">
        <v>36</v>
      </c>
      <c r="C18" s="83">
        <f t="shared" si="0"/>
        <v>11513.45</v>
      </c>
      <c r="D18" s="83"/>
      <c r="E18" s="83"/>
      <c r="F18" s="83"/>
      <c r="G18" s="83"/>
      <c r="H18" s="83"/>
      <c r="I18" s="83">
        <v>11513.45</v>
      </c>
      <c r="J18" s="83"/>
      <c r="K18" s="83"/>
      <c r="L18" s="83"/>
      <c r="M18" s="3"/>
      <c r="N18" s="7"/>
      <c r="O18" s="7"/>
    </row>
    <row r="19" spans="1:15" ht="15" x14ac:dyDescent="0.3">
      <c r="A19" s="2"/>
      <c r="B19" s="84" t="s">
        <v>49</v>
      </c>
      <c r="C19" s="83">
        <f t="shared" si="0"/>
        <v>-11513.45</v>
      </c>
      <c r="D19" s="83"/>
      <c r="E19" s="83"/>
      <c r="F19" s="83"/>
      <c r="G19" s="83"/>
      <c r="H19" s="83"/>
      <c r="I19" s="83">
        <v>-11513.45</v>
      </c>
      <c r="J19" s="83"/>
      <c r="K19" s="83"/>
      <c r="L19" s="83"/>
      <c r="M19" s="3"/>
      <c r="N19" s="7"/>
      <c r="O19" s="7"/>
    </row>
    <row r="20" spans="1:15" ht="15" x14ac:dyDescent="0.3">
      <c r="A20" s="2"/>
      <c r="B20" s="84" t="s">
        <v>33</v>
      </c>
      <c r="C20" s="83">
        <f t="shared" si="0"/>
        <v>84921.760000000009</v>
      </c>
      <c r="D20" s="83">
        <v>53421.760000000002</v>
      </c>
      <c r="E20" s="47"/>
      <c r="F20" s="47"/>
      <c r="G20" s="47"/>
      <c r="H20" s="47"/>
      <c r="I20" s="47"/>
      <c r="J20" s="47">
        <v>7500</v>
      </c>
      <c r="K20" s="47">
        <v>24000</v>
      </c>
      <c r="L20" s="47"/>
      <c r="M20" s="3"/>
      <c r="N20" s="7"/>
      <c r="O20" s="7"/>
    </row>
    <row r="21" spans="1:15" ht="15" x14ac:dyDescent="0.3">
      <c r="A21" s="2"/>
      <c r="B21" s="84" t="s">
        <v>26</v>
      </c>
      <c r="C21" s="83">
        <f t="shared" si="0"/>
        <v>9905</v>
      </c>
      <c r="D21" s="47"/>
      <c r="E21" s="47"/>
      <c r="F21" s="47"/>
      <c r="G21" s="47"/>
      <c r="H21" s="47"/>
      <c r="I21" s="47"/>
      <c r="J21" s="47"/>
      <c r="K21" s="47"/>
      <c r="L21" s="47">
        <v>9905</v>
      </c>
      <c r="M21" s="3" t="s">
        <v>54</v>
      </c>
      <c r="N21" s="7"/>
      <c r="O21" s="7"/>
    </row>
    <row r="22" spans="1:15" ht="15" x14ac:dyDescent="0.3">
      <c r="A22" s="2"/>
      <c r="B22" s="84" t="s">
        <v>61</v>
      </c>
      <c r="C22" s="83"/>
      <c r="D22" s="47"/>
      <c r="E22" s="83">
        <v>-2819.28</v>
      </c>
      <c r="F22" s="83">
        <v>-4828.83</v>
      </c>
      <c r="G22" s="83">
        <v>-6295.01</v>
      </c>
      <c r="H22" s="83">
        <v>586.70000000000005</v>
      </c>
      <c r="I22" s="83"/>
      <c r="J22" s="83"/>
      <c r="K22" s="83"/>
      <c r="L22" s="83">
        <v>13356.42</v>
      </c>
      <c r="M22" s="3" t="s">
        <v>63</v>
      </c>
      <c r="N22" s="7"/>
      <c r="O22" s="7"/>
    </row>
    <row r="23" spans="1:15" ht="15" x14ac:dyDescent="0.3">
      <c r="A23" s="2"/>
      <c r="B23" s="84" t="s">
        <v>62</v>
      </c>
      <c r="C23" s="83">
        <f t="shared" si="0"/>
        <v>0</v>
      </c>
      <c r="D23" s="47"/>
      <c r="E23" s="83"/>
      <c r="F23" s="83"/>
      <c r="G23" s="83"/>
      <c r="H23" s="83"/>
      <c r="I23" s="83"/>
      <c r="J23" s="83">
        <v>-500</v>
      </c>
      <c r="K23" s="83"/>
      <c r="L23" s="83">
        <v>500</v>
      </c>
      <c r="M23" s="3" t="s">
        <v>64</v>
      </c>
      <c r="N23" s="7"/>
      <c r="O23" s="7"/>
    </row>
    <row r="24" spans="1:15" ht="15" x14ac:dyDescent="0.3">
      <c r="A24" s="2"/>
      <c r="B24" s="84" t="s">
        <v>62</v>
      </c>
      <c r="C24" s="83"/>
      <c r="D24" s="47"/>
      <c r="E24" s="83"/>
      <c r="F24" s="83"/>
      <c r="G24" s="83"/>
      <c r="H24" s="83"/>
      <c r="I24" s="47"/>
      <c r="J24" s="47"/>
      <c r="K24" s="47">
        <v>-11290.3</v>
      </c>
      <c r="L24" s="47">
        <v>11290.3</v>
      </c>
      <c r="M24" s="3" t="s">
        <v>65</v>
      </c>
      <c r="N24" s="7"/>
      <c r="O24" s="7"/>
    </row>
    <row r="25" spans="1:15" ht="15" x14ac:dyDescent="0.3">
      <c r="A25" s="2"/>
      <c r="B25" s="60" t="s">
        <v>52</v>
      </c>
      <c r="C25" s="83">
        <f t="shared" si="0"/>
        <v>4200</v>
      </c>
      <c r="D25" s="47"/>
      <c r="E25" s="83"/>
      <c r="F25" s="83"/>
      <c r="G25" s="83"/>
      <c r="H25" s="83"/>
      <c r="I25" s="47"/>
      <c r="J25" s="47"/>
      <c r="K25" s="47"/>
      <c r="L25" s="47">
        <v>4200</v>
      </c>
      <c r="M25" s="3" t="s">
        <v>55</v>
      </c>
      <c r="N25" s="7"/>
      <c r="O25" s="7"/>
    </row>
    <row r="26" spans="1:15" ht="15" x14ac:dyDescent="0.3">
      <c r="A26" s="2"/>
      <c r="B26" s="59"/>
      <c r="C26" s="46"/>
      <c r="D26" s="47"/>
      <c r="E26" s="83"/>
      <c r="F26" s="83"/>
      <c r="G26" s="83"/>
      <c r="H26" s="83"/>
      <c r="I26" s="47"/>
      <c r="J26" s="47"/>
      <c r="K26" s="47"/>
      <c r="L26" s="47"/>
      <c r="M26" s="3"/>
      <c r="N26" s="7"/>
      <c r="O26" s="7"/>
    </row>
    <row r="27" spans="1:15" ht="15.5" thickBot="1" x14ac:dyDescent="0.35">
      <c r="A27" s="2"/>
      <c r="B27" s="61" t="s">
        <v>2</v>
      </c>
      <c r="C27" s="48">
        <f t="shared" ref="C27:L27" si="1">SUM(C10:C26)</f>
        <v>1151263.6500000001</v>
      </c>
      <c r="D27" s="64">
        <f t="shared" si="1"/>
        <v>975541.23</v>
      </c>
      <c r="E27" s="82">
        <f t="shared" si="1"/>
        <v>12745.139999999998</v>
      </c>
      <c r="F27" s="82">
        <f t="shared" si="1"/>
        <v>37550.33</v>
      </c>
      <c r="G27" s="82">
        <f t="shared" si="1"/>
        <v>43854.34</v>
      </c>
      <c r="H27" s="82">
        <f t="shared" si="1"/>
        <v>22611.190000000002</v>
      </c>
      <c r="I27" s="64">
        <f t="shared" si="1"/>
        <v>0</v>
      </c>
      <c r="J27" s="64">
        <f t="shared" si="1"/>
        <v>7000</v>
      </c>
      <c r="K27" s="64">
        <f t="shared" si="1"/>
        <v>12709.7</v>
      </c>
      <c r="L27" s="64">
        <f t="shared" si="1"/>
        <v>39251.72</v>
      </c>
      <c r="M27" s="3"/>
      <c r="N27" s="7"/>
      <c r="O27" s="7"/>
    </row>
    <row r="28" spans="1:15" ht="18.75" customHeight="1" thickBot="1" x14ac:dyDescent="0.35">
      <c r="A28" s="2"/>
      <c r="B28" s="62"/>
      <c r="C28" s="18"/>
      <c r="D28" s="65"/>
      <c r="E28" s="65"/>
      <c r="F28" s="65"/>
      <c r="G28" s="65"/>
      <c r="H28" s="65"/>
      <c r="I28" s="65"/>
      <c r="J28" s="65"/>
      <c r="K28" s="62"/>
      <c r="L28" s="62"/>
    </row>
    <row r="29" spans="1:15" ht="15.5" thickBot="1" x14ac:dyDescent="0.35">
      <c r="A29" s="2"/>
      <c r="B29" s="63" t="s">
        <v>7</v>
      </c>
      <c r="C29" s="50" t="s">
        <v>1</v>
      </c>
      <c r="D29" s="66" t="str">
        <f>+D7</f>
        <v>RDIS</v>
      </c>
      <c r="E29" s="66" t="str">
        <f>+E7</f>
        <v>OSFFP</v>
      </c>
      <c r="F29" s="66" t="str">
        <f>+F7</f>
        <v>OSFNP</v>
      </c>
      <c r="G29" s="66" t="str">
        <f>+G7</f>
        <v>OSFRE</v>
      </c>
      <c r="H29" s="66" t="str">
        <f>+H7</f>
        <v>OSFBC</v>
      </c>
      <c r="I29" s="66"/>
      <c r="J29" s="66" t="str">
        <f>+J7</f>
        <v>SRTRE</v>
      </c>
      <c r="K29" s="66" t="str">
        <f>+K7</f>
        <v>SRTEX</v>
      </c>
      <c r="L29" s="66" t="str">
        <f>+L7</f>
        <v>OTHER</v>
      </c>
      <c r="M29" s="2"/>
      <c r="N29" s="10"/>
    </row>
    <row r="30" spans="1:15" ht="15" x14ac:dyDescent="0.3">
      <c r="A30" s="2"/>
      <c r="B30" s="56"/>
      <c r="C30" s="45"/>
      <c r="D30" s="58"/>
      <c r="E30" s="58"/>
      <c r="F30" s="58"/>
      <c r="G30" s="58"/>
      <c r="H30" s="58"/>
      <c r="I30" s="58"/>
      <c r="J30" s="58"/>
      <c r="K30" s="58"/>
      <c r="L30" s="58"/>
      <c r="M30" s="2"/>
      <c r="N30" s="9"/>
    </row>
    <row r="31" spans="1:15" ht="15" x14ac:dyDescent="0.3">
      <c r="A31" s="2"/>
      <c r="B31" s="56" t="s">
        <v>3</v>
      </c>
      <c r="C31" s="46">
        <f t="shared" ref="C31:C35" si="2">SUM(D31:L31)</f>
        <v>617611.92999999993</v>
      </c>
      <c r="D31" s="47">
        <v>608727.34</v>
      </c>
      <c r="E31" s="47">
        <v>8884.59</v>
      </c>
      <c r="F31" s="47"/>
      <c r="G31" s="47"/>
      <c r="H31" s="47"/>
      <c r="I31" s="47"/>
      <c r="J31" s="47"/>
      <c r="K31" s="47"/>
      <c r="L31" s="47"/>
      <c r="M31" s="2"/>
    </row>
    <row r="32" spans="1:15" ht="15" x14ac:dyDescent="0.3">
      <c r="A32" s="2"/>
      <c r="B32" s="56" t="s">
        <v>27</v>
      </c>
      <c r="C32" s="46">
        <f t="shared" si="2"/>
        <v>42247.06</v>
      </c>
      <c r="D32" s="47">
        <v>37056.44</v>
      </c>
      <c r="E32" s="47">
        <f>647.85+245</f>
        <v>892.85</v>
      </c>
      <c r="F32" s="47"/>
      <c r="G32" s="47"/>
      <c r="H32" s="47">
        <v>4297.7700000000004</v>
      </c>
      <c r="I32" s="47"/>
      <c r="J32" s="47"/>
      <c r="K32" s="47"/>
      <c r="L32" s="47"/>
      <c r="M32" s="2"/>
    </row>
    <row r="33" spans="1:16" ht="15" x14ac:dyDescent="0.3">
      <c r="A33" s="2"/>
      <c r="B33" s="56" t="s">
        <v>42</v>
      </c>
      <c r="C33" s="46">
        <f t="shared" si="2"/>
        <v>52178.079999999994</v>
      </c>
      <c r="D33" s="47">
        <v>38639.129999999997</v>
      </c>
      <c r="E33" s="47">
        <v>1103.02</v>
      </c>
      <c r="F33" s="47"/>
      <c r="G33" s="47"/>
      <c r="H33" s="47">
        <v>12435.93</v>
      </c>
      <c r="I33" s="47"/>
      <c r="J33" s="47"/>
      <c r="K33" s="47"/>
      <c r="L33" s="47"/>
      <c r="M33" s="2"/>
    </row>
    <row r="34" spans="1:16" ht="15" x14ac:dyDescent="0.3">
      <c r="A34" s="2"/>
      <c r="B34" s="56" t="s">
        <v>30</v>
      </c>
      <c r="C34" s="46">
        <f t="shared" si="2"/>
        <v>135901.99</v>
      </c>
      <c r="D34" s="47">
        <f>320+22461.6+11461.5+2656.17+10598.05</f>
        <v>47497.319999999992</v>
      </c>
      <c r="E34" s="47"/>
      <c r="F34" s="47">
        <v>37550.33</v>
      </c>
      <c r="G34" s="47">
        <v>43854.34</v>
      </c>
      <c r="H34" s="47"/>
      <c r="I34" s="47"/>
      <c r="J34" s="47">
        <v>7000</v>
      </c>
      <c r="K34" s="47"/>
      <c r="L34" s="47"/>
      <c r="M34" s="2"/>
    </row>
    <row r="35" spans="1:16" ht="15" x14ac:dyDescent="0.3">
      <c r="A35" s="2"/>
      <c r="B35" s="56" t="s">
        <v>53</v>
      </c>
      <c r="C35" s="46">
        <f t="shared" si="2"/>
        <v>271513.46000000014</v>
      </c>
      <c r="D35" s="47">
        <f>1119452.52-E36-F36-G36-H36-I36-J36-K36-L36-D31-D32-D33-D34</f>
        <v>243621.00000000012</v>
      </c>
      <c r="E35" s="47">
        <f>12745.14-E31-E32-E33-E34</f>
        <v>1864.6799999999994</v>
      </c>
      <c r="F35" s="47"/>
      <c r="G35" s="47"/>
      <c r="H35" s="47">
        <f>5850.85+26.64</f>
        <v>5877.4900000000007</v>
      </c>
      <c r="I35" s="47"/>
      <c r="J35" s="47"/>
      <c r="K35" s="47">
        <f>11107.8+1184.92+416.98</f>
        <v>12709.699999999999</v>
      </c>
      <c r="L35" s="83">
        <v>7440.59</v>
      </c>
      <c r="M35" s="2"/>
    </row>
    <row r="36" spans="1:16" ht="15.5" thickBot="1" x14ac:dyDescent="0.35">
      <c r="A36" s="2"/>
      <c r="B36" s="51" t="s">
        <v>6</v>
      </c>
      <c r="C36" s="48">
        <f t="shared" ref="C36:L36" si="3">SUM(C31:C35)</f>
        <v>1119452.52</v>
      </c>
      <c r="D36" s="64">
        <f t="shared" si="3"/>
        <v>975541.2300000001</v>
      </c>
      <c r="E36" s="64">
        <f t="shared" si="3"/>
        <v>12745.14</v>
      </c>
      <c r="F36" s="64">
        <f t="shared" si="3"/>
        <v>37550.33</v>
      </c>
      <c r="G36" s="64">
        <f t="shared" si="3"/>
        <v>43854.34</v>
      </c>
      <c r="H36" s="64">
        <f t="shared" si="3"/>
        <v>22611.190000000002</v>
      </c>
      <c r="I36" s="64">
        <f t="shared" si="3"/>
        <v>0</v>
      </c>
      <c r="J36" s="64">
        <f t="shared" si="3"/>
        <v>7000</v>
      </c>
      <c r="K36" s="64">
        <f t="shared" si="3"/>
        <v>12709.699999999999</v>
      </c>
      <c r="L36" s="82">
        <f t="shared" si="3"/>
        <v>7440.59</v>
      </c>
      <c r="M36" s="81"/>
    </row>
    <row r="37" spans="1:16" ht="15.5" thickBot="1" x14ac:dyDescent="0.35">
      <c r="A37" s="2"/>
      <c r="B37" s="71"/>
      <c r="C37" s="72"/>
      <c r="D37" s="72">
        <f t="shared" ref="D37:L37" si="4">+D27-D36</f>
        <v>0</v>
      </c>
      <c r="E37" s="72">
        <f t="shared" si="4"/>
        <v>0</v>
      </c>
      <c r="F37" s="72">
        <f t="shared" si="4"/>
        <v>0</v>
      </c>
      <c r="G37" s="72">
        <f t="shared" si="4"/>
        <v>0</v>
      </c>
      <c r="H37" s="72">
        <f t="shared" si="4"/>
        <v>0</v>
      </c>
      <c r="I37" s="72">
        <f t="shared" si="4"/>
        <v>0</v>
      </c>
      <c r="J37" s="72">
        <f t="shared" si="4"/>
        <v>0</v>
      </c>
      <c r="K37" s="72">
        <f t="shared" si="4"/>
        <v>0</v>
      </c>
      <c r="L37" s="72">
        <f t="shared" si="4"/>
        <v>31811.13</v>
      </c>
      <c r="M37" s="3"/>
    </row>
    <row r="38" spans="1:16" ht="15.5" hidden="1" thickBot="1" x14ac:dyDescent="0.35">
      <c r="A38" s="2"/>
      <c r="B38" s="52" t="s">
        <v>12</v>
      </c>
      <c r="C38" s="55">
        <f t="shared" ref="C38:L38" si="5">C27-C36</f>
        <v>31811.130000000121</v>
      </c>
      <c r="D38" s="55">
        <f t="shared" si="5"/>
        <v>0</v>
      </c>
      <c r="E38" s="55">
        <f t="shared" si="5"/>
        <v>0</v>
      </c>
      <c r="F38" s="67">
        <f t="shared" si="5"/>
        <v>0</v>
      </c>
      <c r="G38" s="55">
        <f t="shared" si="5"/>
        <v>0</v>
      </c>
      <c r="H38" s="55">
        <f t="shared" si="5"/>
        <v>0</v>
      </c>
      <c r="I38" s="55">
        <f t="shared" si="5"/>
        <v>0</v>
      </c>
      <c r="J38" s="55">
        <f t="shared" si="5"/>
        <v>0</v>
      </c>
      <c r="K38" s="55">
        <f t="shared" si="5"/>
        <v>0</v>
      </c>
      <c r="L38" s="69">
        <f t="shared" si="5"/>
        <v>31811.13</v>
      </c>
    </row>
    <row r="39" spans="1:16" ht="15" x14ac:dyDescent="0.3">
      <c r="A39" s="2"/>
      <c r="B39" s="13"/>
      <c r="C39" s="23"/>
      <c r="D39" s="23"/>
      <c r="E39" s="23"/>
      <c r="F39" s="73"/>
      <c r="G39" s="73"/>
      <c r="H39" s="73"/>
      <c r="I39" s="73"/>
      <c r="J39" s="23"/>
      <c r="K39" s="23"/>
      <c r="L39" s="23"/>
    </row>
    <row r="40" spans="1:16" ht="15.5" thickBot="1" x14ac:dyDescent="0.35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"/>
      <c r="N40" s="4"/>
      <c r="O40" s="4"/>
      <c r="P40" s="4"/>
    </row>
    <row r="41" spans="1:16" ht="30.75" customHeight="1" x14ac:dyDescent="0.3">
      <c r="B41" s="25" t="s">
        <v>24</v>
      </c>
      <c r="C41" s="26"/>
      <c r="D41" s="27" t="s">
        <v>29</v>
      </c>
      <c r="E41" s="27"/>
      <c r="F41" s="15" t="s">
        <v>9</v>
      </c>
      <c r="G41" s="28"/>
      <c r="H41" s="28"/>
      <c r="I41" s="28"/>
      <c r="J41" s="26"/>
      <c r="K41" s="26"/>
      <c r="L41" s="29"/>
    </row>
    <row r="42" spans="1:16" ht="25.5" customHeight="1" x14ac:dyDescent="0.3">
      <c r="B42" s="30"/>
      <c r="C42" s="16"/>
      <c r="D42" s="18"/>
      <c r="E42" s="18"/>
      <c r="F42" s="16"/>
      <c r="G42" s="18"/>
      <c r="H42" s="18"/>
      <c r="I42" s="18"/>
      <c r="J42" s="16"/>
      <c r="K42" s="16"/>
      <c r="L42" s="17"/>
    </row>
    <row r="43" spans="1:16" ht="15" x14ac:dyDescent="0.3">
      <c r="B43" s="30"/>
      <c r="C43" s="16" t="s">
        <v>4</v>
      </c>
      <c r="D43" s="18">
        <f>D36</f>
        <v>975541.2300000001</v>
      </c>
      <c r="E43" s="18"/>
      <c r="F43" s="16"/>
      <c r="G43" s="18"/>
      <c r="H43" s="18"/>
      <c r="I43" s="18"/>
      <c r="J43" s="16"/>
      <c r="K43" s="16"/>
      <c r="L43" s="17"/>
    </row>
    <row r="44" spans="1:16" ht="24" customHeight="1" x14ac:dyDescent="0.3">
      <c r="B44" s="31"/>
      <c r="C44" s="16"/>
      <c r="D44" s="32"/>
      <c r="E44" s="32"/>
      <c r="F44" s="16"/>
      <c r="G44" s="16"/>
      <c r="H44" s="24"/>
      <c r="I44" s="24"/>
      <c r="J44" s="18"/>
      <c r="K44" s="18"/>
      <c r="L44" s="17"/>
    </row>
    <row r="45" spans="1:16" ht="15" x14ac:dyDescent="0.3">
      <c r="B45" s="31"/>
      <c r="C45" s="13" t="s">
        <v>6</v>
      </c>
      <c r="D45" s="23">
        <f>SUM(D43:D44)</f>
        <v>975541.2300000001</v>
      </c>
      <c r="E45" s="23"/>
      <c r="F45" s="23">
        <v>1062659.6499999999</v>
      </c>
      <c r="G45" s="33">
        <f>D45/F45</f>
        <v>0.91801851138320745</v>
      </c>
      <c r="H45" s="18">
        <f>D45-F45</f>
        <v>-87118.419999999809</v>
      </c>
      <c r="I45" s="18"/>
      <c r="J45" s="40"/>
      <c r="K45" s="16"/>
      <c r="L45" s="17"/>
    </row>
    <row r="46" spans="1:16" ht="15.5" thickBot="1" x14ac:dyDescent="0.35">
      <c r="B46" s="34"/>
      <c r="C46" s="16"/>
      <c r="D46" s="32"/>
      <c r="E46" s="32"/>
      <c r="F46" s="18"/>
      <c r="G46" s="16"/>
      <c r="H46" s="16"/>
      <c r="I46" s="24"/>
      <c r="J46" s="24"/>
      <c r="K46" s="16"/>
      <c r="L46" s="17"/>
    </row>
    <row r="47" spans="1:16" ht="15" x14ac:dyDescent="0.3">
      <c r="B47" s="34" t="s">
        <v>10</v>
      </c>
      <c r="C47" s="35" t="s">
        <v>13</v>
      </c>
      <c r="D47" s="23">
        <f>D45*(100%-F47)</f>
        <v>195108.24599999998</v>
      </c>
      <c r="E47" s="23"/>
      <c r="F47" s="33">
        <v>0.8</v>
      </c>
      <c r="G47" s="18">
        <f>+D45*0.8</f>
        <v>780432.98400000017</v>
      </c>
      <c r="H47" s="18"/>
      <c r="I47" s="74" t="s">
        <v>44</v>
      </c>
      <c r="J47" s="75">
        <f>+D54</f>
        <v>780432.98400000017</v>
      </c>
      <c r="K47" s="16"/>
      <c r="L47" s="17"/>
    </row>
    <row r="48" spans="1:16" ht="15" x14ac:dyDescent="0.3">
      <c r="B48" s="34"/>
      <c r="C48" s="19"/>
      <c r="D48" s="23"/>
      <c r="E48" s="23"/>
      <c r="F48" s="33"/>
      <c r="G48" s="18"/>
      <c r="H48" s="18"/>
      <c r="I48" s="31" t="s">
        <v>43</v>
      </c>
      <c r="J48" s="76">
        <v>719618.46</v>
      </c>
      <c r="K48" s="16"/>
      <c r="L48" s="17"/>
    </row>
    <row r="49" spans="2:16" ht="15" x14ac:dyDescent="0.3">
      <c r="B49" s="31"/>
      <c r="C49" s="16"/>
      <c r="D49" s="18"/>
      <c r="E49" s="18"/>
      <c r="F49" s="18"/>
      <c r="G49" s="18"/>
      <c r="H49" s="18"/>
      <c r="I49" s="31" t="s">
        <v>50</v>
      </c>
      <c r="J49" s="78">
        <f>+D58</f>
        <v>0</v>
      </c>
      <c r="K49" s="16"/>
      <c r="L49" s="17"/>
    </row>
    <row r="50" spans="2:16" ht="15" x14ac:dyDescent="0.3">
      <c r="B50" s="31"/>
      <c r="C50" s="87" t="s">
        <v>39</v>
      </c>
      <c r="D50" s="18">
        <f>+D14</f>
        <v>79330.5</v>
      </c>
      <c r="E50" s="18"/>
      <c r="F50" s="18"/>
      <c r="G50" s="18"/>
      <c r="H50" s="18"/>
      <c r="I50" s="77" t="s">
        <v>45</v>
      </c>
      <c r="J50" s="76">
        <f>+J47-J48-J49</f>
        <v>60814.524000000209</v>
      </c>
      <c r="K50" s="16"/>
      <c r="L50" s="17"/>
    </row>
    <row r="51" spans="2:16" ht="15" x14ac:dyDescent="0.3">
      <c r="B51" s="31"/>
      <c r="C51" s="87" t="s">
        <v>40</v>
      </c>
      <c r="D51" s="18">
        <f>+D15</f>
        <v>62355.990000000005</v>
      </c>
      <c r="E51" s="18"/>
      <c r="F51" s="18"/>
      <c r="G51" s="18"/>
      <c r="H51" s="18"/>
      <c r="I51" s="77"/>
      <c r="J51" s="17"/>
      <c r="K51" s="16"/>
      <c r="L51" s="17"/>
    </row>
    <row r="52" spans="2:16" ht="15.5" thickBot="1" x14ac:dyDescent="0.35">
      <c r="B52" s="31"/>
      <c r="C52" s="88" t="s">
        <v>41</v>
      </c>
      <c r="D52" s="18">
        <f>+D20</f>
        <v>53421.760000000002</v>
      </c>
      <c r="E52" s="18"/>
      <c r="F52" s="18"/>
      <c r="G52" s="18"/>
      <c r="H52" s="18"/>
      <c r="I52" s="77" t="s">
        <v>46</v>
      </c>
      <c r="J52" s="78">
        <f>+D47</f>
        <v>195108.24599999998</v>
      </c>
      <c r="K52" s="16"/>
      <c r="L52" s="17"/>
    </row>
    <row r="53" spans="2:16" ht="15.5" thickBot="1" x14ac:dyDescent="0.35">
      <c r="B53" s="31"/>
      <c r="C53" s="13" t="s">
        <v>17</v>
      </c>
      <c r="D53" s="36">
        <f>SUM(D50:D52)</f>
        <v>195108.25</v>
      </c>
      <c r="E53" s="23"/>
      <c r="F53" s="37" t="s">
        <v>15</v>
      </c>
      <c r="G53" s="38">
        <f>D47-D53</f>
        <v>-4.0000000153668225E-3</v>
      </c>
      <c r="H53" s="18"/>
      <c r="I53" s="77" t="s">
        <v>47</v>
      </c>
      <c r="J53" s="78">
        <f>+D53</f>
        <v>195108.25</v>
      </c>
      <c r="K53" s="16"/>
      <c r="L53" s="17"/>
    </row>
    <row r="54" spans="2:16" ht="15.5" thickBot="1" x14ac:dyDescent="0.35">
      <c r="B54" s="31"/>
      <c r="C54" s="13" t="s">
        <v>16</v>
      </c>
      <c r="D54" s="23">
        <f>D45*F47</f>
        <v>780432.98400000017</v>
      </c>
      <c r="E54" s="23"/>
      <c r="F54" s="39"/>
      <c r="G54" s="40"/>
      <c r="H54" s="40"/>
      <c r="I54" s="79" t="s">
        <v>48</v>
      </c>
      <c r="J54" s="80">
        <f>+J52-J53</f>
        <v>-4.0000000153668225E-3</v>
      </c>
      <c r="K54" s="16"/>
      <c r="L54" s="17"/>
    </row>
    <row r="55" spans="2:16" ht="15.5" thickBot="1" x14ac:dyDescent="0.35">
      <c r="B55" s="31"/>
      <c r="C55" s="16"/>
      <c r="D55" s="16"/>
      <c r="E55" s="16"/>
      <c r="F55" s="37" t="s">
        <v>11</v>
      </c>
      <c r="G55" s="38">
        <f>+D54+G53</f>
        <v>780432.98000000021</v>
      </c>
      <c r="H55" s="18"/>
      <c r="I55" s="40"/>
      <c r="J55" s="16"/>
      <c r="K55" s="16"/>
      <c r="L55" s="17"/>
    </row>
    <row r="56" spans="2:16" ht="15" x14ac:dyDescent="0.3">
      <c r="B56" s="31"/>
      <c r="C56" s="13" t="s">
        <v>8</v>
      </c>
      <c r="D56" s="23">
        <f>D54+D53</f>
        <v>975541.23400000017</v>
      </c>
      <c r="E56" s="23"/>
      <c r="F56" s="23"/>
      <c r="G56" s="16"/>
      <c r="H56" s="16"/>
      <c r="I56" s="18"/>
      <c r="J56" s="16"/>
      <c r="K56" s="16"/>
      <c r="L56" s="17"/>
    </row>
    <row r="57" spans="2:16" ht="15" x14ac:dyDescent="0.3">
      <c r="B57" s="31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2:16" ht="15.5" thickBot="1" x14ac:dyDescent="0.35">
      <c r="B58" s="41" t="s">
        <v>12</v>
      </c>
      <c r="C58" s="20"/>
      <c r="D58" s="68">
        <v>0</v>
      </c>
      <c r="E58" s="21"/>
      <c r="F58" s="21"/>
      <c r="G58" s="21"/>
      <c r="H58" s="21"/>
      <c r="I58" s="21"/>
      <c r="J58" s="21"/>
      <c r="K58" s="21"/>
      <c r="L58" s="22"/>
      <c r="M58" s="2"/>
      <c r="N58" s="2"/>
      <c r="O58" s="2"/>
      <c r="P58" s="2"/>
    </row>
    <row r="59" spans="2:16" x14ac:dyDescent="0.25">
      <c r="B59" s="2"/>
      <c r="C59" s="2"/>
      <c r="D59" s="3"/>
      <c r="E59" s="8"/>
      <c r="F59" s="8"/>
      <c r="G59" s="8"/>
      <c r="H59" s="8"/>
      <c r="K59" s="2"/>
      <c r="L59" s="2"/>
      <c r="M59" s="4"/>
      <c r="N59" s="2"/>
      <c r="O59" s="2"/>
      <c r="P59" s="2"/>
    </row>
    <row r="60" spans="2:16" x14ac:dyDescent="0.25">
      <c r="B60" s="2"/>
      <c r="C60" s="2"/>
      <c r="D60" s="2"/>
      <c r="E60" s="2"/>
      <c r="F60" s="2"/>
      <c r="G60" s="2"/>
      <c r="H60" s="2"/>
      <c r="I60" s="8"/>
      <c r="J60" s="8"/>
      <c r="K60" s="2"/>
      <c r="L60" s="2"/>
    </row>
    <row r="61" spans="2:1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7"/>
    </row>
    <row r="62" spans="2:1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5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5">
      <c r="B66" s="2"/>
      <c r="C66" s="3"/>
      <c r="D66" s="8"/>
      <c r="E66" s="8"/>
      <c r="F66" s="8"/>
      <c r="G66" s="8"/>
      <c r="H66" s="8"/>
      <c r="I66" s="2"/>
      <c r="J66" s="2"/>
      <c r="K66" s="2"/>
      <c r="L66" s="2"/>
    </row>
    <row r="67" spans="2:12" x14ac:dyDescent="0.25">
      <c r="B67" s="2"/>
      <c r="C67" s="3"/>
      <c r="D67" s="2"/>
      <c r="E67" s="2"/>
      <c r="F67" s="2"/>
      <c r="G67" s="2"/>
      <c r="H67" s="2"/>
      <c r="I67" s="8"/>
      <c r="J67" s="8"/>
      <c r="K67" s="2"/>
      <c r="L67" s="2"/>
    </row>
    <row r="68" spans="2:12" x14ac:dyDescent="0.25">
      <c r="C68" s="7"/>
      <c r="I68" s="2"/>
      <c r="J68" s="2"/>
    </row>
    <row r="69" spans="2:12" x14ac:dyDescent="0.25">
      <c r="C69" s="7"/>
    </row>
    <row r="70" spans="2:12" x14ac:dyDescent="0.25">
      <c r="C70" s="7"/>
    </row>
    <row r="71" spans="2:12" x14ac:dyDescent="0.25">
      <c r="C71" s="7"/>
    </row>
    <row r="72" spans="2:12" x14ac:dyDescent="0.25">
      <c r="C72" s="7"/>
    </row>
    <row r="73" spans="2:12" x14ac:dyDescent="0.25">
      <c r="C73" s="7"/>
    </row>
    <row r="74" spans="2:12" x14ac:dyDescent="0.25">
      <c r="C74" s="7"/>
    </row>
    <row r="75" spans="2:12" x14ac:dyDescent="0.25">
      <c r="C75" s="7"/>
    </row>
    <row r="76" spans="2:12" x14ac:dyDescent="0.25">
      <c r="C76" s="7"/>
    </row>
    <row r="77" spans="2:12" x14ac:dyDescent="0.25">
      <c r="C77" s="7"/>
    </row>
    <row r="78" spans="2:12" x14ac:dyDescent="0.25">
      <c r="C78" s="7"/>
    </row>
    <row r="79" spans="2:12" x14ac:dyDescent="0.25">
      <c r="C79" s="7"/>
    </row>
    <row r="80" spans="2:12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  <row r="104" spans="3:3" x14ac:dyDescent="0.25">
      <c r="C104" s="7"/>
    </row>
    <row r="105" spans="3:3" x14ac:dyDescent="0.25">
      <c r="C105" s="7"/>
    </row>
    <row r="106" spans="3:3" x14ac:dyDescent="0.25">
      <c r="C106" s="7"/>
    </row>
    <row r="109" spans="3:3" x14ac:dyDescent="0.25">
      <c r="C109" s="7"/>
    </row>
  </sheetData>
  <phoneticPr fontId="0" type="noConversion"/>
  <printOptions horizontalCentered="1"/>
  <pageMargins left="0.2" right="0.2" top="0.23622047244094491" bottom="0.23622047244094491" header="0.15748031496062992" footer="0.15748031496062992"/>
  <pageSetup paperSize="8" scale="81" orientation="landscape" cellComments="asDisplayed" r:id="rId1"/>
  <headerFooter alignWithMargins="0">
    <oddFooter>&amp;LPrepared by CLESPIAUCQ &amp;D&amp;RPage &amp;P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10"/>
  <sheetViews>
    <sheetView workbookViewId="0">
      <selection activeCell="A10" sqref="A10"/>
    </sheetView>
  </sheetViews>
  <sheetFormatPr defaultColWidth="9.1796875" defaultRowHeight="12.5" x14ac:dyDescent="0.25"/>
  <sheetData>
    <row r="1" spans="1:1" x14ac:dyDescent="0.25">
      <c r="A1">
        <v>20.28</v>
      </c>
    </row>
    <row r="2" spans="1:1" x14ac:dyDescent="0.25">
      <c r="A2">
        <v>6109.16</v>
      </c>
    </row>
    <row r="3" spans="1:1" x14ac:dyDescent="0.25">
      <c r="A3">
        <v>14275.3</v>
      </c>
    </row>
    <row r="4" spans="1:1" x14ac:dyDescent="0.25">
      <c r="A4">
        <v>7097.03</v>
      </c>
    </row>
    <row r="5" spans="1:1" x14ac:dyDescent="0.25">
      <c r="A5">
        <v>8001.73</v>
      </c>
    </row>
    <row r="6" spans="1:1" x14ac:dyDescent="0.25">
      <c r="A6">
        <v>320</v>
      </c>
    </row>
    <row r="7" spans="1:1" x14ac:dyDescent="0.25">
      <c r="A7">
        <v>2349.4899999999998</v>
      </c>
    </row>
    <row r="8" spans="1:1" x14ac:dyDescent="0.25">
      <c r="A8">
        <v>54079.05</v>
      </c>
    </row>
    <row r="9" spans="1:1" x14ac:dyDescent="0.25">
      <c r="A9">
        <v>2130.8000000000002</v>
      </c>
    </row>
    <row r="10" spans="1:1" x14ac:dyDescent="0.25">
      <c r="A10">
        <f>SUM(A1:A9)</f>
        <v>94382.840000000011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Feuil3</vt:lpstr>
      <vt:lpstr>'2016'!Print_Area</vt:lpstr>
      <vt:lpstr>'2016'!Print_Titles</vt:lpstr>
    </vt:vector>
  </TitlesOfParts>
  <Company>PME-Conseils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CLESPIAUCQ</dc:creator>
  <cp:lastModifiedBy>Myriam De Feyter</cp:lastModifiedBy>
  <cp:lastPrinted>2017-06-02T10:28:42Z</cp:lastPrinted>
  <dcterms:created xsi:type="dcterms:W3CDTF">2003-07-04T17:06:03Z</dcterms:created>
  <dcterms:modified xsi:type="dcterms:W3CDTF">2017-06-09T13:11:54Z</dcterms:modified>
</cp:coreProperties>
</file>