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60" windowWidth="28800" windowHeight="10960" tabRatio="842"/>
  </bookViews>
  <sheets>
    <sheet name="2018" sheetId="1" r:id="rId1"/>
    <sheet name="Michaël" sheetId="4" r:id="rId2"/>
    <sheet name="Juliana" sheetId="5" r:id="rId3"/>
    <sheet name="Georgina" sheetId="6" r:id="rId4"/>
    <sheet name="Julie" sheetId="12" r:id="rId5"/>
    <sheet name="Claire" sheetId="17" r:id="rId6"/>
    <sheet name="AnneSoph" sheetId="19" r:id="rId7"/>
    <sheet name="Vivienne" sheetId="20" r:id="rId8"/>
    <sheet name="Sarah" sheetId="26" r:id="rId9"/>
    <sheet name="Junior Sec" sheetId="29" r:id="rId10"/>
    <sheet name="Budget" sheetId="27" r:id="rId11"/>
    <sheet name="x" sheetId="28" r:id="rId12"/>
    <sheet name="CR" sheetId="15" r:id="rId13"/>
    <sheet name="Assurances" sheetId="21" r:id="rId14"/>
    <sheet name="Jours travaillés" sheetId="25" r:id="rId15"/>
  </sheets>
  <definedNames>
    <definedName name="_xlnm.Print_Area" localSheetId="0">'2018'!$A$1:$AV$27</definedName>
    <definedName name="_xlnm.Print_Titles" localSheetId="0">'2018'!$A:$A</definedName>
  </definedNames>
  <calcPr calcId="145621" fullPrecision="0"/>
</workbook>
</file>

<file path=xl/calcChain.xml><?xml version="1.0" encoding="utf-8"?>
<calcChain xmlns="http://schemas.openxmlformats.org/spreadsheetml/2006/main">
  <c r="I11" i="1" l="1"/>
  <c r="X16" i="1" l="1"/>
  <c r="AE16" i="1" l="1"/>
  <c r="AE17" i="1"/>
  <c r="AC17" i="1"/>
  <c r="AC16" i="1"/>
  <c r="N29" i="21"/>
  <c r="C27" i="21"/>
  <c r="D27" i="21"/>
  <c r="E27" i="21"/>
  <c r="F27" i="21"/>
  <c r="G27" i="21"/>
  <c r="H27" i="21"/>
  <c r="I27" i="21"/>
  <c r="J27" i="21"/>
  <c r="B27" i="21"/>
  <c r="F6" i="21"/>
  <c r="G6" i="21"/>
  <c r="H6" i="21"/>
  <c r="I6" i="21"/>
  <c r="J6" i="21"/>
  <c r="K6" i="21"/>
  <c r="L6" i="21"/>
  <c r="M6" i="21"/>
  <c r="N6" i="21"/>
  <c r="E6" i="21"/>
  <c r="F4" i="21"/>
  <c r="G4" i="21"/>
  <c r="H4" i="21"/>
  <c r="I4" i="21"/>
  <c r="J4" i="21"/>
  <c r="K4" i="21"/>
  <c r="L4" i="21"/>
  <c r="M4" i="21"/>
  <c r="N4" i="21"/>
  <c r="E4" i="21"/>
  <c r="J10" i="21"/>
  <c r="K10" i="21"/>
  <c r="L10" i="21"/>
  <c r="M10" i="21"/>
  <c r="N10" i="21"/>
  <c r="I10" i="2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G41" i="1"/>
  <c r="H41" i="1"/>
  <c r="I41" i="1"/>
  <c r="J41" i="1"/>
  <c r="K41" i="1"/>
  <c r="L41" i="1"/>
  <c r="M41" i="1"/>
  <c r="N41" i="1"/>
  <c r="O41" i="1"/>
  <c r="P41" i="1"/>
  <c r="Q41" i="1"/>
  <c r="R41" i="1"/>
  <c r="S42" i="1"/>
  <c r="K43" i="1"/>
  <c r="S43" i="1"/>
  <c r="F37" i="1"/>
  <c r="F38" i="1"/>
  <c r="F39" i="1"/>
  <c r="F41" i="1"/>
  <c r="F36" i="1"/>
  <c r="K29" i="1"/>
  <c r="G30" i="1"/>
  <c r="H30" i="1"/>
  <c r="I30" i="1"/>
  <c r="J30" i="1"/>
  <c r="L30" i="1"/>
  <c r="M30" i="1"/>
  <c r="N30" i="1"/>
  <c r="O30" i="1"/>
  <c r="P30" i="1"/>
  <c r="Q30" i="1"/>
  <c r="R30" i="1"/>
  <c r="S30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F30" i="1"/>
  <c r="F32" i="1"/>
  <c r="F34" i="1"/>
  <c r="N13" i="27"/>
  <c r="M13" i="27"/>
  <c r="L13" i="27"/>
  <c r="K13" i="27"/>
  <c r="J13" i="27"/>
  <c r="I13" i="27"/>
  <c r="F13" i="27"/>
  <c r="E13" i="27"/>
  <c r="D13" i="27"/>
  <c r="C13" i="27"/>
  <c r="B13" i="27"/>
  <c r="G6" i="27"/>
  <c r="C17" i="1"/>
  <c r="D17" i="1" s="1"/>
  <c r="B4" i="27" s="1"/>
  <c r="AQ16" i="1"/>
  <c r="AR16" i="1" s="1"/>
  <c r="U16" i="1"/>
  <c r="D16" i="1"/>
  <c r="B4" i="29" s="1"/>
  <c r="N22" i="29"/>
  <c r="M22" i="29"/>
  <c r="L22" i="29"/>
  <c r="K22" i="29"/>
  <c r="J22" i="29"/>
  <c r="I22" i="29"/>
  <c r="H22" i="29"/>
  <c r="F22" i="29"/>
  <c r="E22" i="29"/>
  <c r="D22" i="29"/>
  <c r="C22" i="29"/>
  <c r="B22" i="29"/>
  <c r="P22" i="29" s="1"/>
  <c r="P20" i="29"/>
  <c r="P13" i="29"/>
  <c r="AA7" i="29"/>
  <c r="AB6" i="29" s="1"/>
  <c r="AB5" i="29"/>
  <c r="G22" i="6"/>
  <c r="J6" i="26"/>
  <c r="K6" i="26"/>
  <c r="L6" i="26"/>
  <c r="M6" i="26"/>
  <c r="N6" i="26"/>
  <c r="O6" i="26"/>
  <c r="G6" i="20"/>
  <c r="I6" i="20"/>
  <c r="J6" i="20"/>
  <c r="K6" i="20"/>
  <c r="L6" i="20"/>
  <c r="M6" i="20"/>
  <c r="N6" i="20"/>
  <c r="O6" i="20"/>
  <c r="B6" i="27" l="1"/>
  <c r="C4" i="27"/>
  <c r="E22" i="6"/>
  <c r="F22" i="6"/>
  <c r="G6" i="19"/>
  <c r="G5" i="12"/>
  <c r="E6" i="5"/>
  <c r="F6" i="5"/>
  <c r="G6" i="5"/>
  <c r="H6" i="5"/>
  <c r="I6" i="5"/>
  <c r="J6" i="5"/>
  <c r="K6" i="5"/>
  <c r="L6" i="5"/>
  <c r="M6" i="5"/>
  <c r="N6" i="5"/>
  <c r="O6" i="5"/>
  <c r="G6" i="6"/>
  <c r="E6" i="12"/>
  <c r="F6" i="12"/>
  <c r="G6" i="12"/>
  <c r="H6" i="12"/>
  <c r="I6" i="12"/>
  <c r="J6" i="12"/>
  <c r="K6" i="12"/>
  <c r="L6" i="12"/>
  <c r="M6" i="12"/>
  <c r="N6" i="12"/>
  <c r="O6" i="12"/>
  <c r="I4" i="12"/>
  <c r="H4" i="12"/>
  <c r="G6" i="4"/>
  <c r="K31" i="1" s="1"/>
  <c r="B4" i="17"/>
  <c r="C4" i="17" s="1"/>
  <c r="C6" i="27" l="1"/>
  <c r="D4" i="27"/>
  <c r="C17" i="17"/>
  <c r="C6" i="17"/>
  <c r="D4" i="17"/>
  <c r="E4" i="17"/>
  <c r="F4" i="17"/>
  <c r="F6" i="17" s="1"/>
  <c r="B6" i="17"/>
  <c r="D22" i="6"/>
  <c r="H13" i="12"/>
  <c r="H13" i="6"/>
  <c r="E4" i="27" l="1"/>
  <c r="D6" i="27"/>
  <c r="D17" i="17"/>
  <c r="D6" i="17"/>
  <c r="E17" i="17"/>
  <c r="E6" i="17"/>
  <c r="B22" i="6"/>
  <c r="C22" i="6"/>
  <c r="F4" i="27" l="1"/>
  <c r="G5" i="27" s="1"/>
  <c r="E6" i="27"/>
  <c r="N22" i="27"/>
  <c r="Q12" i="21"/>
  <c r="Q13" i="21"/>
  <c r="Q11" i="21"/>
  <c r="Q4" i="21"/>
  <c r="Q10" i="21"/>
  <c r="P20" i="28"/>
  <c r="N22" i="28"/>
  <c r="P11" i="28"/>
  <c r="U19" i="1" s="1"/>
  <c r="G8" i="28"/>
  <c r="G10" i="28" s="1"/>
  <c r="AA7" i="28"/>
  <c r="AB6" i="28" s="1"/>
  <c r="AB5" i="28"/>
  <c r="P5" i="28"/>
  <c r="H4" i="27" l="1"/>
  <c r="I4" i="27" s="1"/>
  <c r="J4" i="27" s="1"/>
  <c r="F6" i="27"/>
  <c r="H22" i="28"/>
  <c r="I22" i="28"/>
  <c r="M22" i="28"/>
  <c r="E22" i="28"/>
  <c r="J22" i="28"/>
  <c r="C22" i="28"/>
  <c r="L22" i="28"/>
  <c r="D22" i="28"/>
  <c r="B22" i="28"/>
  <c r="P22" i="28" s="1"/>
  <c r="F22" i="28"/>
  <c r="K22" i="28"/>
  <c r="G15" i="28"/>
  <c r="K19" i="1"/>
  <c r="B8" i="28"/>
  <c r="B17" i="28"/>
  <c r="P13" i="28"/>
  <c r="P20" i="27"/>
  <c r="M22" i="27"/>
  <c r="L22" i="27"/>
  <c r="K22" i="27"/>
  <c r="J22" i="27"/>
  <c r="I22" i="27"/>
  <c r="H22" i="27"/>
  <c r="F22" i="27"/>
  <c r="E22" i="27"/>
  <c r="D22" i="27"/>
  <c r="C22" i="27"/>
  <c r="B22" i="27"/>
  <c r="P11" i="27"/>
  <c r="U17" i="1" s="1"/>
  <c r="AA7" i="27"/>
  <c r="AB6" i="27" s="1"/>
  <c r="AB5" i="27"/>
  <c r="P5" i="27" l="1"/>
  <c r="G8" i="27"/>
  <c r="G10" i="27" s="1"/>
  <c r="K17" i="1" s="1"/>
  <c r="H6" i="27"/>
  <c r="I6" i="27"/>
  <c r="C17" i="28"/>
  <c r="C8" i="28"/>
  <c r="B10" i="28"/>
  <c r="F19" i="1" s="1"/>
  <c r="P22" i="27"/>
  <c r="B8" i="27"/>
  <c r="B17" i="27"/>
  <c r="P13" i="27"/>
  <c r="X17" i="1" s="1"/>
  <c r="AF17" i="1"/>
  <c r="G15" i="27" l="1"/>
  <c r="B10" i="27"/>
  <c r="F17" i="1" s="1"/>
  <c r="K4" i="27"/>
  <c r="J6" i="27"/>
  <c r="C10" i="28"/>
  <c r="G19" i="1" s="1"/>
  <c r="D17" i="28"/>
  <c r="D8" i="28"/>
  <c r="B15" i="28"/>
  <c r="C17" i="27"/>
  <c r="C8" i="27"/>
  <c r="N11" i="25"/>
  <c r="AE15" i="1"/>
  <c r="N27" i="21"/>
  <c r="AC15" i="1" s="1"/>
  <c r="D8" i="1"/>
  <c r="D9" i="1"/>
  <c r="B4" i="5" s="1"/>
  <c r="B6" i="5" s="1"/>
  <c r="D10" i="1"/>
  <c r="B4" i="6" s="1"/>
  <c r="B6" i="6" s="1"/>
  <c r="D11" i="1"/>
  <c r="B4" i="12" s="1"/>
  <c r="B6" i="12" s="1"/>
  <c r="D13" i="1"/>
  <c r="B4" i="19" s="1"/>
  <c r="B6" i="19" s="1"/>
  <c r="D14" i="1"/>
  <c r="B4" i="20" s="1"/>
  <c r="B6" i="20" s="1"/>
  <c r="D15" i="1"/>
  <c r="B22" i="26"/>
  <c r="C22" i="26"/>
  <c r="D22" i="26"/>
  <c r="E22" i="26"/>
  <c r="F22" i="26"/>
  <c r="H22" i="26"/>
  <c r="I22" i="26"/>
  <c r="J22" i="26"/>
  <c r="K22" i="26"/>
  <c r="L22" i="26"/>
  <c r="M22" i="26"/>
  <c r="N22" i="26"/>
  <c r="P20" i="26"/>
  <c r="P13" i="26"/>
  <c r="X15" i="1" s="1"/>
  <c r="P19" i="20"/>
  <c r="P20" i="20"/>
  <c r="P21" i="20"/>
  <c r="N22" i="20"/>
  <c r="M22" i="20"/>
  <c r="L22" i="20"/>
  <c r="K22" i="20"/>
  <c r="J22" i="20"/>
  <c r="I22" i="20"/>
  <c r="H22" i="20"/>
  <c r="F22" i="20"/>
  <c r="E22" i="20"/>
  <c r="D22" i="20"/>
  <c r="C22" i="20"/>
  <c r="B22" i="20"/>
  <c r="G17" i="20"/>
  <c r="P7" i="12"/>
  <c r="P9" i="12"/>
  <c r="P11" i="12"/>
  <c r="P12" i="12"/>
  <c r="V11" i="1" s="1"/>
  <c r="P13" i="12"/>
  <c r="X11" i="1" s="1"/>
  <c r="P14" i="12"/>
  <c r="N22" i="19"/>
  <c r="M22" i="19"/>
  <c r="L22" i="19"/>
  <c r="K22" i="19"/>
  <c r="J22" i="19"/>
  <c r="I22" i="19"/>
  <c r="H22" i="19"/>
  <c r="F22" i="19"/>
  <c r="E22" i="19"/>
  <c r="D22" i="19"/>
  <c r="C22" i="19"/>
  <c r="B22" i="19"/>
  <c r="G17" i="19"/>
  <c r="N22" i="17"/>
  <c r="M22" i="17"/>
  <c r="L22" i="17"/>
  <c r="K22" i="17"/>
  <c r="J22" i="17"/>
  <c r="I22" i="17"/>
  <c r="H22" i="17"/>
  <c r="F22" i="17"/>
  <c r="E22" i="17"/>
  <c r="D22" i="17"/>
  <c r="C22" i="17"/>
  <c r="B22" i="17"/>
  <c r="G17" i="17"/>
  <c r="N22" i="12"/>
  <c r="M22" i="12"/>
  <c r="L22" i="12"/>
  <c r="K22" i="12"/>
  <c r="J22" i="12"/>
  <c r="I22" i="12"/>
  <c r="H22" i="12"/>
  <c r="F22" i="12"/>
  <c r="E22" i="12"/>
  <c r="D22" i="12"/>
  <c r="C22" i="12"/>
  <c r="B22" i="12"/>
  <c r="G17" i="12"/>
  <c r="N22" i="6"/>
  <c r="M22" i="6"/>
  <c r="L22" i="6"/>
  <c r="K22" i="6"/>
  <c r="J22" i="6"/>
  <c r="I22" i="6"/>
  <c r="H22" i="6"/>
  <c r="I4" i="6"/>
  <c r="I6" i="6" s="1"/>
  <c r="C4" i="6"/>
  <c r="C6" i="6" s="1"/>
  <c r="G17" i="6"/>
  <c r="N22" i="5"/>
  <c r="M22" i="5"/>
  <c r="L22" i="5"/>
  <c r="K22" i="5"/>
  <c r="J22" i="5"/>
  <c r="I22" i="5"/>
  <c r="H22" i="5"/>
  <c r="F22" i="5"/>
  <c r="E22" i="5"/>
  <c r="D22" i="5"/>
  <c r="C22" i="5"/>
  <c r="B22" i="5"/>
  <c r="G17" i="5"/>
  <c r="N22" i="4"/>
  <c r="M22" i="4"/>
  <c r="L22" i="4"/>
  <c r="K22" i="4"/>
  <c r="J22" i="4"/>
  <c r="I22" i="4"/>
  <c r="H22" i="4"/>
  <c r="F22" i="4"/>
  <c r="E22" i="4"/>
  <c r="D22" i="4"/>
  <c r="C22" i="4"/>
  <c r="B22" i="4"/>
  <c r="G17" i="4"/>
  <c r="K42" i="1" s="1"/>
  <c r="C20" i="1"/>
  <c r="AE8" i="1"/>
  <c r="AE9" i="1"/>
  <c r="AE10" i="1"/>
  <c r="AE11" i="1"/>
  <c r="AE12" i="1"/>
  <c r="AE13" i="1"/>
  <c r="B20" i="21"/>
  <c r="C20" i="21"/>
  <c r="D20" i="21"/>
  <c r="E20" i="21"/>
  <c r="F20" i="21"/>
  <c r="G20" i="21"/>
  <c r="H20" i="21"/>
  <c r="I20" i="21"/>
  <c r="J20" i="21"/>
  <c r="K20" i="21"/>
  <c r="L20" i="21"/>
  <c r="M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N28" i="21"/>
  <c r="E20" i="1"/>
  <c r="AB16" i="1" s="1"/>
  <c r="Z20" i="1"/>
  <c r="AJ20" i="1"/>
  <c r="AQ15" i="1"/>
  <c r="AR15" i="1" s="1"/>
  <c r="N3" i="25"/>
  <c r="N4" i="25"/>
  <c r="AQ8" i="1" s="1"/>
  <c r="AR8" i="1" s="1"/>
  <c r="N5" i="25"/>
  <c r="AQ9" i="1" s="1"/>
  <c r="AR9" i="1" s="1"/>
  <c r="N6" i="25"/>
  <c r="N7" i="25"/>
  <c r="AQ11" i="1" s="1"/>
  <c r="AR11" i="1" s="1"/>
  <c r="N8" i="25"/>
  <c r="N9" i="25"/>
  <c r="AQ13" i="1" s="1"/>
  <c r="AR13" i="1" s="1"/>
  <c r="N10" i="25"/>
  <c r="N13" i="25"/>
  <c r="N12" i="25"/>
  <c r="U15" i="1"/>
  <c r="A15" i="1"/>
  <c r="B24" i="1" s="1"/>
  <c r="I23" i="20"/>
  <c r="J23" i="20"/>
  <c r="K23" i="20"/>
  <c r="L23" i="20"/>
  <c r="M23" i="20"/>
  <c r="N23" i="20"/>
  <c r="I27" i="15"/>
  <c r="G27" i="15"/>
  <c r="I26" i="15"/>
  <c r="G26" i="15"/>
  <c r="I25" i="15"/>
  <c r="G25" i="15"/>
  <c r="I24" i="15"/>
  <c r="G24" i="15"/>
  <c r="I23" i="15"/>
  <c r="G23" i="15"/>
  <c r="I22" i="15"/>
  <c r="G22" i="15"/>
  <c r="I21" i="15"/>
  <c r="G21" i="15"/>
  <c r="I20" i="15"/>
  <c r="G20" i="15"/>
  <c r="I19" i="15"/>
  <c r="G19" i="15"/>
  <c r="I18" i="15"/>
  <c r="G18" i="15"/>
  <c r="I17" i="15"/>
  <c r="G17" i="15"/>
  <c r="I16" i="15"/>
  <c r="G16" i="15"/>
  <c r="I15" i="15"/>
  <c r="G15" i="15"/>
  <c r="I14" i="15"/>
  <c r="G14" i="15"/>
  <c r="I13" i="15"/>
  <c r="G13" i="15"/>
  <c r="I12" i="15"/>
  <c r="G12" i="15"/>
  <c r="I11" i="15"/>
  <c r="G11" i="15"/>
  <c r="I10" i="15"/>
  <c r="G10" i="15"/>
  <c r="I9" i="15"/>
  <c r="G9" i="15"/>
  <c r="I8" i="15"/>
  <c r="G8" i="15"/>
  <c r="I7" i="15"/>
  <c r="G7" i="15"/>
  <c r="I6" i="15"/>
  <c r="G6" i="15"/>
  <c r="I5" i="15"/>
  <c r="G5" i="15"/>
  <c r="I4" i="15"/>
  <c r="G4" i="15"/>
  <c r="AA7" i="26"/>
  <c r="AB6" i="26" s="1"/>
  <c r="AB5" i="26"/>
  <c r="H23" i="20"/>
  <c r="AB1" i="1"/>
  <c r="AQ14" i="1"/>
  <c r="AR14" i="1" s="1"/>
  <c r="AQ12" i="1"/>
  <c r="AR12" i="1" s="1"/>
  <c r="J15" i="25"/>
  <c r="F15" i="25"/>
  <c r="B15" i="25"/>
  <c r="M15" i="25"/>
  <c r="L15" i="25"/>
  <c r="K15" i="25"/>
  <c r="I15" i="25"/>
  <c r="H15" i="25"/>
  <c r="G15" i="25"/>
  <c r="E15" i="25"/>
  <c r="D15" i="25"/>
  <c r="C15" i="25"/>
  <c r="D30" i="15"/>
  <c r="R30" i="21"/>
  <c r="R31" i="21" s="1"/>
  <c r="Q30" i="21"/>
  <c r="Q31" i="21" s="1"/>
  <c r="E30" i="21"/>
  <c r="AF8" i="1"/>
  <c r="AF9" i="1"/>
  <c r="AF10" i="1"/>
  <c r="AF11" i="1"/>
  <c r="AF12" i="1"/>
  <c r="AF13" i="1"/>
  <c r="AF14" i="1"/>
  <c r="Q9" i="21"/>
  <c r="Q8" i="21"/>
  <c r="Q7" i="21"/>
  <c r="Q6" i="21"/>
  <c r="Q5" i="21"/>
  <c r="Q3" i="21"/>
  <c r="P7" i="4"/>
  <c r="P11" i="20"/>
  <c r="P13" i="20"/>
  <c r="X14" i="1" s="1"/>
  <c r="P11" i="19"/>
  <c r="P13" i="19"/>
  <c r="X13" i="1" s="1"/>
  <c r="P11" i="6"/>
  <c r="P13" i="6"/>
  <c r="X10" i="1" s="1"/>
  <c r="P11" i="4"/>
  <c r="P13" i="4"/>
  <c r="X8" i="1" s="1"/>
  <c r="P11" i="5"/>
  <c r="P13" i="5"/>
  <c r="X9" i="1" s="1"/>
  <c r="P13" i="17"/>
  <c r="X12" i="1" s="1"/>
  <c r="F14" i="21"/>
  <c r="P12" i="4"/>
  <c r="U8" i="1" s="1"/>
  <c r="W8" i="1"/>
  <c r="P12" i="5"/>
  <c r="U9" i="1" s="1"/>
  <c r="W9" i="1"/>
  <c r="P12" i="6"/>
  <c r="V10" i="1" s="1"/>
  <c r="W10" i="1"/>
  <c r="U12" i="1"/>
  <c r="G14" i="21"/>
  <c r="B14" i="21"/>
  <c r="C14" i="21"/>
  <c r="D14" i="21"/>
  <c r="E14" i="21"/>
  <c r="H14" i="21"/>
  <c r="I14" i="21"/>
  <c r="J14" i="21"/>
  <c r="K14" i="21"/>
  <c r="L14" i="21"/>
  <c r="M14" i="21"/>
  <c r="P7" i="19"/>
  <c r="P7" i="6"/>
  <c r="P7" i="5"/>
  <c r="P12" i="19"/>
  <c r="A14" i="1"/>
  <c r="B23" i="20"/>
  <c r="C23" i="20"/>
  <c r="D23" i="20"/>
  <c r="E23" i="20"/>
  <c r="F23" i="20"/>
  <c r="P12" i="20"/>
  <c r="U14" i="1" s="1"/>
  <c r="P14" i="20"/>
  <c r="P9" i="20"/>
  <c r="P7" i="20"/>
  <c r="AB29" i="1"/>
  <c r="A13" i="1"/>
  <c r="P20" i="19"/>
  <c r="P14" i="19"/>
  <c r="P9" i="19"/>
  <c r="B7" i="15"/>
  <c r="D7" i="15"/>
  <c r="B9" i="15"/>
  <c r="D9" i="15"/>
  <c r="B11" i="15"/>
  <c r="D11" i="15"/>
  <c r="B13" i="15"/>
  <c r="D13" i="15"/>
  <c r="B15" i="15"/>
  <c r="D15" i="15"/>
  <c r="A12" i="1"/>
  <c r="D5" i="15"/>
  <c r="D6" i="15"/>
  <c r="D8" i="15"/>
  <c r="D10" i="15"/>
  <c r="D12" i="15"/>
  <c r="D14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4" i="15"/>
  <c r="B5" i="15"/>
  <c r="B6" i="15"/>
  <c r="B8" i="15"/>
  <c r="B10" i="15"/>
  <c r="B12" i="15"/>
  <c r="B14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4" i="15"/>
  <c r="A8" i="1"/>
  <c r="A11" i="1"/>
  <c r="P20" i="12"/>
  <c r="P20" i="6"/>
  <c r="P14" i="6"/>
  <c r="P9" i="6"/>
  <c r="P20" i="5"/>
  <c r="P14" i="5"/>
  <c r="P9" i="5"/>
  <c r="P20" i="4"/>
  <c r="P14" i="4"/>
  <c r="P9" i="4"/>
  <c r="AA1" i="1"/>
  <c r="A9" i="1"/>
  <c r="A10" i="1"/>
  <c r="B4" i="4" l="1"/>
  <c r="B15" i="27"/>
  <c r="L4" i="27"/>
  <c r="K6" i="27"/>
  <c r="AE14" i="1"/>
  <c r="B8" i="20"/>
  <c r="B10" i="20" s="1"/>
  <c r="B8" i="12"/>
  <c r="B10" i="12" s="1"/>
  <c r="B17" i="5"/>
  <c r="B4" i="26"/>
  <c r="B8" i="26" s="1"/>
  <c r="B8" i="19"/>
  <c r="B10" i="19" s="1"/>
  <c r="B15" i="19" s="1"/>
  <c r="N26" i="21"/>
  <c r="N15" i="25"/>
  <c r="P22" i="6"/>
  <c r="C15" i="28"/>
  <c r="H4" i="6"/>
  <c r="H6" i="6" s="1"/>
  <c r="I17" i="12"/>
  <c r="P22" i="12"/>
  <c r="C8" i="17"/>
  <c r="C10" i="17" s="1"/>
  <c r="G12" i="1" s="1"/>
  <c r="D30" i="21"/>
  <c r="AQ10" i="1"/>
  <c r="AR10" i="1" s="1"/>
  <c r="AR20" i="1" s="1"/>
  <c r="N24" i="21"/>
  <c r="AC12" i="1" s="1"/>
  <c r="N22" i="21"/>
  <c r="AC10" i="1" s="1"/>
  <c r="V8" i="1"/>
  <c r="P22" i="5"/>
  <c r="S6" i="17"/>
  <c r="C4" i="5"/>
  <c r="J4" i="6"/>
  <c r="D10" i="28"/>
  <c r="H19" i="1" s="1"/>
  <c r="E17" i="28"/>
  <c r="E8" i="28"/>
  <c r="C4" i="20"/>
  <c r="AB14" i="1"/>
  <c r="B8" i="17"/>
  <c r="C4" i="19"/>
  <c r="B17" i="19"/>
  <c r="U13" i="1"/>
  <c r="L30" i="21"/>
  <c r="H30" i="21"/>
  <c r="F30" i="21"/>
  <c r="U11" i="1"/>
  <c r="Q14" i="21"/>
  <c r="S31" i="21"/>
  <c r="T38" i="1"/>
  <c r="AB9" i="1"/>
  <c r="P22" i="4"/>
  <c r="B8" i="6"/>
  <c r="N14" i="21"/>
  <c r="W20" i="1"/>
  <c r="M30" i="21"/>
  <c r="I30" i="21"/>
  <c r="P22" i="17"/>
  <c r="P22" i="20"/>
  <c r="C10" i="27"/>
  <c r="G17" i="1" s="1"/>
  <c r="AB10" i="1"/>
  <c r="AB15" i="1"/>
  <c r="T37" i="1"/>
  <c r="I8" i="6"/>
  <c r="I10" i="6" s="1"/>
  <c r="I17" i="6"/>
  <c r="B17" i="17"/>
  <c r="D4" i="6"/>
  <c r="C8" i="6"/>
  <c r="B17" i="12"/>
  <c r="C4" i="12"/>
  <c r="B17" i="20"/>
  <c r="B17" i="6"/>
  <c r="D17" i="27"/>
  <c r="D8" i="27"/>
  <c r="N20" i="21"/>
  <c r="AC8" i="1" s="1"/>
  <c r="U10" i="1"/>
  <c r="V9" i="1"/>
  <c r="AF20" i="1"/>
  <c r="N23" i="21"/>
  <c r="AC11" i="1" s="1"/>
  <c r="C30" i="21"/>
  <c r="T36" i="1"/>
  <c r="B8" i="4"/>
  <c r="T32" i="1"/>
  <c r="J30" i="21"/>
  <c r="B30" i="21"/>
  <c r="K30" i="21"/>
  <c r="G30" i="21"/>
  <c r="B8" i="5"/>
  <c r="AB17" i="1"/>
  <c r="AB8" i="1"/>
  <c r="AB13" i="1"/>
  <c r="AB12" i="1"/>
  <c r="C17" i="6"/>
  <c r="P22" i="19"/>
  <c r="N25" i="21"/>
  <c r="AC13" i="1" s="1"/>
  <c r="N21" i="21"/>
  <c r="AC9" i="1" s="1"/>
  <c r="J4" i="12"/>
  <c r="I8" i="12"/>
  <c r="X20" i="1"/>
  <c r="P22" i="26"/>
  <c r="AB11" i="1"/>
  <c r="D6" i="6" l="1"/>
  <c r="E4" i="6"/>
  <c r="F29" i="1"/>
  <c r="B17" i="4"/>
  <c r="B6" i="4"/>
  <c r="B10" i="4" s="1"/>
  <c r="F8" i="1" s="1"/>
  <c r="C4" i="4"/>
  <c r="C17" i="4" s="1"/>
  <c r="AE20" i="1"/>
  <c r="AC14" i="1"/>
  <c r="M4" i="27"/>
  <c r="L6" i="27"/>
  <c r="D4" i="20"/>
  <c r="E4" i="20" s="1"/>
  <c r="E6" i="20" s="1"/>
  <c r="C6" i="20"/>
  <c r="C17" i="5"/>
  <c r="C6" i="5"/>
  <c r="B6" i="26"/>
  <c r="B10" i="26" s="1"/>
  <c r="F15" i="1" s="1"/>
  <c r="C4" i="26"/>
  <c r="B17" i="26"/>
  <c r="C17" i="12"/>
  <c r="C6" i="12"/>
  <c r="B17" i="29"/>
  <c r="B6" i="29"/>
  <c r="B8" i="29"/>
  <c r="F33" i="1" s="1"/>
  <c r="C4" i="29"/>
  <c r="K4" i="6"/>
  <c r="L4" i="6" s="1"/>
  <c r="J6" i="6"/>
  <c r="C17" i="19"/>
  <c r="C6" i="19"/>
  <c r="C8" i="5"/>
  <c r="C15" i="27"/>
  <c r="AQ20" i="1"/>
  <c r="E10" i="28"/>
  <c r="D4" i="5"/>
  <c r="J8" i="6"/>
  <c r="C10" i="6"/>
  <c r="G10" i="1" s="1"/>
  <c r="B10" i="6"/>
  <c r="F10" i="1" s="1"/>
  <c r="B10" i="17"/>
  <c r="B15" i="17" s="1"/>
  <c r="J17" i="6"/>
  <c r="I10" i="12"/>
  <c r="I15" i="12" s="1"/>
  <c r="F17" i="28"/>
  <c r="F8" i="28"/>
  <c r="D15" i="28"/>
  <c r="C8" i="19"/>
  <c r="D4" i="19"/>
  <c r="D6" i="19" s="1"/>
  <c r="C17" i="20"/>
  <c r="C8" i="20"/>
  <c r="F13" i="1"/>
  <c r="I15" i="6"/>
  <c r="M10" i="1"/>
  <c r="D17" i="6"/>
  <c r="D8" i="6"/>
  <c r="D4" i="12"/>
  <c r="D6" i="12" s="1"/>
  <c r="C8" i="12"/>
  <c r="V20" i="1"/>
  <c r="B15" i="20"/>
  <c r="F14" i="1"/>
  <c r="E17" i="27"/>
  <c r="E8" i="27"/>
  <c r="D10" i="27"/>
  <c r="H17" i="1" s="1"/>
  <c r="C15" i="17"/>
  <c r="D8" i="17"/>
  <c r="K4" i="12"/>
  <c r="J8" i="12"/>
  <c r="J17" i="12"/>
  <c r="N30" i="21"/>
  <c r="AC20" i="1"/>
  <c r="B15" i="12"/>
  <c r="F11" i="1"/>
  <c r="B10" i="5"/>
  <c r="U20" i="1"/>
  <c r="AB20" i="1"/>
  <c r="K8" i="6" l="1"/>
  <c r="D4" i="4"/>
  <c r="E4" i="4" s="1"/>
  <c r="C10" i="5"/>
  <c r="G9" i="1" s="1"/>
  <c r="C8" i="4"/>
  <c r="C6" i="4"/>
  <c r="D8" i="20"/>
  <c r="B10" i="29"/>
  <c r="F16" i="1" s="1"/>
  <c r="G29" i="1"/>
  <c r="F31" i="1"/>
  <c r="F42" i="1"/>
  <c r="N4" i="27"/>
  <c r="M6" i="27"/>
  <c r="E10" i="27"/>
  <c r="E15" i="27" s="1"/>
  <c r="L8" i="6"/>
  <c r="L6" i="6"/>
  <c r="C17" i="29"/>
  <c r="C8" i="29"/>
  <c r="C6" i="29"/>
  <c r="D4" i="29"/>
  <c r="C6" i="26"/>
  <c r="D4" i="26"/>
  <c r="C17" i="26"/>
  <c r="C8" i="26"/>
  <c r="E8" i="6"/>
  <c r="E6" i="6"/>
  <c r="D8" i="5"/>
  <c r="D6" i="5"/>
  <c r="K17" i="6"/>
  <c r="K6" i="6"/>
  <c r="K10" i="6" s="1"/>
  <c r="O10" i="1" s="1"/>
  <c r="D17" i="20"/>
  <c r="D6" i="20"/>
  <c r="C15" i="6"/>
  <c r="F4" i="20"/>
  <c r="F6" i="20" s="1"/>
  <c r="C10" i="19"/>
  <c r="C15" i="19" s="1"/>
  <c r="F10" i="28"/>
  <c r="J19" i="1" s="1"/>
  <c r="B15" i="4"/>
  <c r="J10" i="6"/>
  <c r="J15" i="6" s="1"/>
  <c r="C10" i="20"/>
  <c r="C15" i="20" s="1"/>
  <c r="C10" i="12"/>
  <c r="G11" i="1" s="1"/>
  <c r="E15" i="28"/>
  <c r="I19" i="1"/>
  <c r="F12" i="1"/>
  <c r="D17" i="5"/>
  <c r="L17" i="6"/>
  <c r="E8" i="5"/>
  <c r="F4" i="6"/>
  <c r="M4" i="6"/>
  <c r="M6" i="6" s="1"/>
  <c r="R7" i="6" s="1"/>
  <c r="B15" i="26"/>
  <c r="F15" i="28"/>
  <c r="B15" i="6"/>
  <c r="M11" i="1"/>
  <c r="E17" i="6"/>
  <c r="E17" i="20"/>
  <c r="E8" i="20"/>
  <c r="E10" i="20" s="1"/>
  <c r="E15" i="20" s="1"/>
  <c r="D17" i="12"/>
  <c r="H8" i="28"/>
  <c r="H17" i="28"/>
  <c r="D17" i="19"/>
  <c r="D8" i="19"/>
  <c r="E4" i="19"/>
  <c r="E6" i="19" s="1"/>
  <c r="D8" i="12"/>
  <c r="D10" i="12" s="1"/>
  <c r="H11" i="1" s="1"/>
  <c r="D10" i="6"/>
  <c r="H10" i="1" s="1"/>
  <c r="E8" i="12"/>
  <c r="H6" i="20"/>
  <c r="J10" i="12"/>
  <c r="N11" i="1" s="1"/>
  <c r="F17" i="27"/>
  <c r="F8" i="27"/>
  <c r="D15" i="27"/>
  <c r="B15" i="5"/>
  <c r="F9" i="1"/>
  <c r="E8" i="17"/>
  <c r="L4" i="12"/>
  <c r="K8" i="12"/>
  <c r="K17" i="12"/>
  <c r="D10" i="17"/>
  <c r="H12" i="1" s="1"/>
  <c r="F35" i="1"/>
  <c r="D8" i="4" l="1"/>
  <c r="C10" i="4"/>
  <c r="G8" i="1" s="1"/>
  <c r="B15" i="29"/>
  <c r="F40" i="1" s="1"/>
  <c r="H29" i="1"/>
  <c r="D6" i="4"/>
  <c r="D17" i="4"/>
  <c r="C15" i="5"/>
  <c r="M8" i="6"/>
  <c r="M10" i="6" s="1"/>
  <c r="D10" i="20"/>
  <c r="D15" i="20" s="1"/>
  <c r="G33" i="1"/>
  <c r="G13" i="1"/>
  <c r="C10" i="26"/>
  <c r="G15" i="1" s="1"/>
  <c r="D10" i="5"/>
  <c r="H9" i="1" s="1"/>
  <c r="G42" i="1"/>
  <c r="G31" i="1"/>
  <c r="E6" i="4"/>
  <c r="I17" i="1"/>
  <c r="O4" i="27"/>
  <c r="N6" i="27"/>
  <c r="C10" i="29"/>
  <c r="G16" i="1" s="1"/>
  <c r="M17" i="6"/>
  <c r="L10" i="6"/>
  <c r="P10" i="1" s="1"/>
  <c r="N4" i="6"/>
  <c r="N6" i="6" s="1"/>
  <c r="E10" i="6"/>
  <c r="I10" i="1" s="1"/>
  <c r="D6" i="26"/>
  <c r="D8" i="26"/>
  <c r="E4" i="26"/>
  <c r="D17" i="26"/>
  <c r="F17" i="20"/>
  <c r="F8" i="20"/>
  <c r="F10" i="20" s="1"/>
  <c r="G5" i="6"/>
  <c r="G8" i="6" s="1"/>
  <c r="G10" i="6" s="1"/>
  <c r="F6" i="6"/>
  <c r="G5" i="20"/>
  <c r="G8" i="20" s="1"/>
  <c r="G10" i="20" s="1"/>
  <c r="E4" i="29"/>
  <c r="D17" i="29"/>
  <c r="D8" i="29"/>
  <c r="D6" i="29"/>
  <c r="C15" i="12"/>
  <c r="G14" i="1"/>
  <c r="F8" i="6"/>
  <c r="N10" i="1"/>
  <c r="E17" i="5"/>
  <c r="E10" i="5"/>
  <c r="K15" i="6"/>
  <c r="F17" i="6"/>
  <c r="F20" i="1"/>
  <c r="H10" i="28"/>
  <c r="L19" i="1" s="1"/>
  <c r="H17" i="6"/>
  <c r="F4" i="5"/>
  <c r="F8" i="5" s="1"/>
  <c r="F10" i="27"/>
  <c r="J17" i="1" s="1"/>
  <c r="D15" i="6"/>
  <c r="I14" i="1"/>
  <c r="D15" i="12"/>
  <c r="D10" i="19"/>
  <c r="H13" i="1" s="1"/>
  <c r="I8" i="28"/>
  <c r="I17" i="28"/>
  <c r="E10" i="12"/>
  <c r="F4" i="19"/>
  <c r="F6" i="19" s="1"/>
  <c r="E8" i="19"/>
  <c r="E17" i="19"/>
  <c r="J15" i="12"/>
  <c r="F4" i="12"/>
  <c r="F17" i="12" s="1"/>
  <c r="E17" i="12"/>
  <c r="H17" i="20"/>
  <c r="H8" i="20"/>
  <c r="K10" i="12"/>
  <c r="K15" i="12" s="1"/>
  <c r="H8" i="27"/>
  <c r="H17" i="27"/>
  <c r="F8" i="17"/>
  <c r="H4" i="17"/>
  <c r="H6" i="17" s="1"/>
  <c r="F17" i="17"/>
  <c r="G5" i="17"/>
  <c r="E8" i="4"/>
  <c r="E17" i="4"/>
  <c r="F4" i="4"/>
  <c r="C15" i="4"/>
  <c r="G35" i="1"/>
  <c r="E10" i="17"/>
  <c r="I12" i="1" s="1"/>
  <c r="H8" i="6"/>
  <c r="D15" i="17"/>
  <c r="L8" i="12"/>
  <c r="L17" i="12"/>
  <c r="M4" i="12"/>
  <c r="D10" i="4"/>
  <c r="H8" i="1" s="1"/>
  <c r="F10" i="6" l="1"/>
  <c r="H14" i="1"/>
  <c r="L15" i="6"/>
  <c r="C15" i="29"/>
  <c r="D15" i="5"/>
  <c r="H33" i="1"/>
  <c r="C15" i="26"/>
  <c r="N8" i="6"/>
  <c r="P5" i="20"/>
  <c r="H42" i="1"/>
  <c r="I29" i="1"/>
  <c r="H31" i="1"/>
  <c r="D10" i="29"/>
  <c r="D15" i="29" s="1"/>
  <c r="E15" i="6"/>
  <c r="F6" i="4"/>
  <c r="H15" i="28"/>
  <c r="N17" i="6"/>
  <c r="P17" i="6" s="1"/>
  <c r="Y10" i="1" s="1"/>
  <c r="O4" i="6"/>
  <c r="O6" i="6" s="1"/>
  <c r="Q6" i="6" s="1"/>
  <c r="D10" i="26"/>
  <c r="F4" i="29"/>
  <c r="G5" i="29" s="1"/>
  <c r="E17" i="29"/>
  <c r="E6" i="29"/>
  <c r="E8" i="29"/>
  <c r="E6" i="26"/>
  <c r="F4" i="26"/>
  <c r="E8" i="26"/>
  <c r="E17" i="26"/>
  <c r="P5" i="6"/>
  <c r="F17" i="5"/>
  <c r="H4" i="5"/>
  <c r="H8" i="5" s="1"/>
  <c r="G5" i="5"/>
  <c r="G8" i="5" s="1"/>
  <c r="G10" i="5" s="1"/>
  <c r="O11" i="1"/>
  <c r="I10" i="28"/>
  <c r="M19" i="1" s="1"/>
  <c r="H10" i="27"/>
  <c r="H15" i="27" s="1"/>
  <c r="F15" i="27"/>
  <c r="H17" i="12"/>
  <c r="D15" i="19"/>
  <c r="F8" i="12"/>
  <c r="F10" i="12" s="1"/>
  <c r="F15" i="12" s="1"/>
  <c r="G8" i="12"/>
  <c r="G10" i="12" s="1"/>
  <c r="L10" i="12"/>
  <c r="L15" i="12" s="1"/>
  <c r="E10" i="19"/>
  <c r="I13" i="1" s="1"/>
  <c r="J17" i="28"/>
  <c r="J8" i="28"/>
  <c r="F17" i="19"/>
  <c r="H4" i="19"/>
  <c r="H6" i="19" s="1"/>
  <c r="G5" i="19"/>
  <c r="F8" i="19"/>
  <c r="F10" i="17"/>
  <c r="F15" i="17" s="1"/>
  <c r="H10" i="6"/>
  <c r="H15" i="6" s="1"/>
  <c r="G15" i="20"/>
  <c r="K14" i="1"/>
  <c r="F10" i="5"/>
  <c r="F15" i="5" s="1"/>
  <c r="J4" i="20"/>
  <c r="I8" i="20"/>
  <c r="I17" i="20"/>
  <c r="J14" i="1"/>
  <c r="F15" i="20"/>
  <c r="H10" i="20"/>
  <c r="I8" i="27"/>
  <c r="I17" i="27"/>
  <c r="L10" i="1"/>
  <c r="D15" i="4"/>
  <c r="I9" i="1"/>
  <c r="E15" i="5"/>
  <c r="E15" i="17"/>
  <c r="I4" i="17"/>
  <c r="I6" i="17" s="1"/>
  <c r="H17" i="17"/>
  <c r="H8" i="17"/>
  <c r="E15" i="12"/>
  <c r="G15" i="6"/>
  <c r="K10" i="1"/>
  <c r="F8" i="4"/>
  <c r="H4" i="4"/>
  <c r="G5" i="4"/>
  <c r="F17" i="4"/>
  <c r="P5" i="17"/>
  <c r="G8" i="17"/>
  <c r="G10" i="17" s="1"/>
  <c r="N4" i="12"/>
  <c r="M8" i="12"/>
  <c r="M17" i="12"/>
  <c r="M15" i="6"/>
  <c r="Q10" i="1"/>
  <c r="I4" i="5"/>
  <c r="H17" i="5"/>
  <c r="F15" i="6"/>
  <c r="J10" i="1"/>
  <c r="N10" i="6"/>
  <c r="G20" i="1"/>
  <c r="E10" i="4"/>
  <c r="G40" i="1" l="1"/>
  <c r="O8" i="6"/>
  <c r="P8" i="6" s="1"/>
  <c r="R4" i="6"/>
  <c r="H35" i="1"/>
  <c r="I31" i="1"/>
  <c r="P4" i="6"/>
  <c r="I42" i="1"/>
  <c r="J29" i="1"/>
  <c r="I33" i="1"/>
  <c r="I35" i="1" s="1"/>
  <c r="H16" i="1"/>
  <c r="H6" i="4"/>
  <c r="E10" i="29"/>
  <c r="I16" i="1" s="1"/>
  <c r="E10" i="26"/>
  <c r="H4" i="29"/>
  <c r="F6" i="29"/>
  <c r="F8" i="29"/>
  <c r="F17" i="29"/>
  <c r="G5" i="26"/>
  <c r="K30" i="1" s="1"/>
  <c r="F6" i="26"/>
  <c r="J31" i="1" s="1"/>
  <c r="H4" i="26"/>
  <c r="F8" i="26"/>
  <c r="F17" i="26"/>
  <c r="D15" i="26"/>
  <c r="H40" i="1" s="1"/>
  <c r="H15" i="1"/>
  <c r="J10" i="28"/>
  <c r="N19" i="1" s="1"/>
  <c r="P5" i="5"/>
  <c r="J12" i="1"/>
  <c r="H8" i="12"/>
  <c r="P11" i="1"/>
  <c r="I15" i="28"/>
  <c r="L17" i="1"/>
  <c r="F10" i="19"/>
  <c r="F15" i="19" s="1"/>
  <c r="P5" i="12"/>
  <c r="I10" i="20"/>
  <c r="M14" i="1" s="1"/>
  <c r="E15" i="19"/>
  <c r="K17" i="28"/>
  <c r="K8" i="28"/>
  <c r="H17" i="19"/>
  <c r="I4" i="19"/>
  <c r="I6" i="19" s="1"/>
  <c r="H8" i="19"/>
  <c r="G8" i="19"/>
  <c r="G10" i="19" s="1"/>
  <c r="P5" i="19"/>
  <c r="J9" i="1"/>
  <c r="I10" i="27"/>
  <c r="O10" i="6"/>
  <c r="H18" i="6" s="1"/>
  <c r="J11" i="1"/>
  <c r="J8" i="20"/>
  <c r="K4" i="20"/>
  <c r="J17" i="20"/>
  <c r="M10" i="12"/>
  <c r="M15" i="12" s="1"/>
  <c r="H15" i="20"/>
  <c r="L14" i="1"/>
  <c r="J17" i="27"/>
  <c r="J8" i="27"/>
  <c r="K9" i="1"/>
  <c r="G15" i="5"/>
  <c r="G15" i="17"/>
  <c r="K12" i="1"/>
  <c r="G15" i="12"/>
  <c r="K11" i="1"/>
  <c r="J4" i="5"/>
  <c r="I8" i="5"/>
  <c r="I17" i="5"/>
  <c r="O4" i="12"/>
  <c r="P4" i="12" s="1"/>
  <c r="N17" i="12"/>
  <c r="P17" i="12" s="1"/>
  <c r="Y11" i="1" s="1"/>
  <c r="N8" i="12"/>
  <c r="G8" i="4"/>
  <c r="P5" i="4"/>
  <c r="P6" i="6"/>
  <c r="H10" i="17"/>
  <c r="H10" i="5"/>
  <c r="F10" i="4"/>
  <c r="I4" i="4"/>
  <c r="H17" i="4"/>
  <c r="H8" i="4"/>
  <c r="N15" i="6"/>
  <c r="R10" i="1"/>
  <c r="J4" i="17"/>
  <c r="J6" i="17" s="1"/>
  <c r="I17" i="17"/>
  <c r="I8" i="17"/>
  <c r="I8" i="1"/>
  <c r="E15" i="4"/>
  <c r="H20" i="1" l="1"/>
  <c r="L29" i="1"/>
  <c r="J42" i="1"/>
  <c r="J33" i="1"/>
  <c r="F10" i="29"/>
  <c r="J16" i="1" s="1"/>
  <c r="I6" i="4"/>
  <c r="E15" i="29"/>
  <c r="I15" i="1"/>
  <c r="I20" i="1" s="1"/>
  <c r="E15" i="26"/>
  <c r="H6" i="26"/>
  <c r="H8" i="26"/>
  <c r="I4" i="26"/>
  <c r="H17" i="26"/>
  <c r="P5" i="29"/>
  <c r="G8" i="29"/>
  <c r="H17" i="29"/>
  <c r="H6" i="29"/>
  <c r="H8" i="29"/>
  <c r="I4" i="29"/>
  <c r="J4" i="29" s="1"/>
  <c r="F10" i="26"/>
  <c r="P5" i="26"/>
  <c r="G8" i="26"/>
  <c r="G10" i="26" s="1"/>
  <c r="J15" i="28"/>
  <c r="H10" i="19"/>
  <c r="L13" i="1" s="1"/>
  <c r="H10" i="12"/>
  <c r="H15" i="12" s="1"/>
  <c r="L18" i="6"/>
  <c r="L11" i="1"/>
  <c r="I15" i="20"/>
  <c r="K10" i="28"/>
  <c r="J13" i="1"/>
  <c r="K18" i="6"/>
  <c r="N18" i="6"/>
  <c r="J10" i="20"/>
  <c r="N14" i="1" s="1"/>
  <c r="L17" i="28"/>
  <c r="L8" i="28"/>
  <c r="P10" i="6"/>
  <c r="P15" i="6" s="1"/>
  <c r="K13" i="1"/>
  <c r="G15" i="19"/>
  <c r="I8" i="19"/>
  <c r="I17" i="19"/>
  <c r="J4" i="19"/>
  <c r="J6" i="19" s="1"/>
  <c r="S10" i="1"/>
  <c r="T10" i="1" s="1"/>
  <c r="AA10" i="1" s="1"/>
  <c r="M18" i="6"/>
  <c r="B18" i="6"/>
  <c r="E18" i="6"/>
  <c r="C18" i="6"/>
  <c r="J18" i="6"/>
  <c r="I18" i="6"/>
  <c r="J10" i="27"/>
  <c r="I15" i="27"/>
  <c r="M17" i="1"/>
  <c r="G10" i="4"/>
  <c r="K8" i="1" s="1"/>
  <c r="I10" i="5"/>
  <c r="I15" i="5" s="1"/>
  <c r="O15" i="6"/>
  <c r="P16" i="6" s="1"/>
  <c r="F18" i="6"/>
  <c r="D18" i="6"/>
  <c r="H10" i="4"/>
  <c r="H15" i="4" s="1"/>
  <c r="R4" i="12"/>
  <c r="N10" i="12"/>
  <c r="N15" i="12" s="1"/>
  <c r="K8" i="20"/>
  <c r="L4" i="20"/>
  <c r="K17" i="20"/>
  <c r="Q11" i="1"/>
  <c r="J35" i="1"/>
  <c r="I10" i="17"/>
  <c r="I15" i="17" s="1"/>
  <c r="K8" i="27"/>
  <c r="K17" i="27"/>
  <c r="I8" i="4"/>
  <c r="I17" i="4"/>
  <c r="J4" i="4"/>
  <c r="H15" i="17"/>
  <c r="L12" i="1"/>
  <c r="J8" i="1"/>
  <c r="F15" i="4"/>
  <c r="K4" i="26"/>
  <c r="J8" i="26"/>
  <c r="J17" i="26"/>
  <c r="L9" i="1"/>
  <c r="H15" i="5"/>
  <c r="T30" i="1"/>
  <c r="K4" i="17"/>
  <c r="K6" i="17" s="1"/>
  <c r="J17" i="17"/>
  <c r="J8" i="17"/>
  <c r="O8" i="12"/>
  <c r="P8" i="12" s="1"/>
  <c r="P6" i="12"/>
  <c r="J8" i="5"/>
  <c r="J17" i="5"/>
  <c r="K4" i="5"/>
  <c r="F15" i="29" l="1"/>
  <c r="L42" i="1"/>
  <c r="M29" i="1"/>
  <c r="L33" i="1"/>
  <c r="L31" i="1"/>
  <c r="H10" i="29"/>
  <c r="L16" i="1" s="1"/>
  <c r="I40" i="1"/>
  <c r="J6" i="4"/>
  <c r="N29" i="1"/>
  <c r="G10" i="29"/>
  <c r="K16" i="1" s="1"/>
  <c r="K33" i="1"/>
  <c r="K35" i="1" s="1"/>
  <c r="K4" i="29"/>
  <c r="J6" i="29"/>
  <c r="J8" i="29"/>
  <c r="J17" i="29"/>
  <c r="H10" i="26"/>
  <c r="H15" i="26" s="1"/>
  <c r="G15" i="26"/>
  <c r="K15" i="1"/>
  <c r="F15" i="26"/>
  <c r="J40" i="1" s="1"/>
  <c r="J15" i="1"/>
  <c r="J20" i="1" s="1"/>
  <c r="I6" i="26"/>
  <c r="I8" i="26"/>
  <c r="I17" i="26"/>
  <c r="I17" i="29"/>
  <c r="I6" i="29"/>
  <c r="I8" i="29"/>
  <c r="H15" i="19"/>
  <c r="O6" i="28"/>
  <c r="J15" i="20"/>
  <c r="L10" i="28"/>
  <c r="L15" i="28" s="1"/>
  <c r="K15" i="28"/>
  <c r="O19" i="1"/>
  <c r="I10" i="19"/>
  <c r="I15" i="19" s="1"/>
  <c r="K10" i="27"/>
  <c r="O17" i="1" s="1"/>
  <c r="R11" i="1"/>
  <c r="G15" i="4"/>
  <c r="M9" i="1"/>
  <c r="M8" i="28"/>
  <c r="M17" i="28"/>
  <c r="L8" i="1"/>
  <c r="J17" i="19"/>
  <c r="K4" i="19"/>
  <c r="K6" i="19" s="1"/>
  <c r="J8" i="19"/>
  <c r="P18" i="6"/>
  <c r="J10" i="5"/>
  <c r="J15" i="5" s="1"/>
  <c r="J10" i="17"/>
  <c r="N12" i="1" s="1"/>
  <c r="J10" i="26"/>
  <c r="J15" i="26" s="1"/>
  <c r="J15" i="27"/>
  <c r="N17" i="1"/>
  <c r="K10" i="20"/>
  <c r="O14" i="1" s="1"/>
  <c r="M12" i="1"/>
  <c r="L8" i="20"/>
  <c r="M4" i="20"/>
  <c r="L17" i="20"/>
  <c r="L8" i="27"/>
  <c r="L17" i="27"/>
  <c r="K17" i="5"/>
  <c r="K8" i="5"/>
  <c r="L4" i="5"/>
  <c r="J8" i="4"/>
  <c r="J17" i="4"/>
  <c r="K4" i="4"/>
  <c r="K6" i="4" s="1"/>
  <c r="K17" i="17"/>
  <c r="L4" i="17"/>
  <c r="L6" i="17" s="1"/>
  <c r="K8" i="17"/>
  <c r="Q6" i="12"/>
  <c r="K8" i="26"/>
  <c r="L4" i="26"/>
  <c r="K17" i="26"/>
  <c r="O10" i="12"/>
  <c r="I10" i="4"/>
  <c r="G15" i="29" l="1"/>
  <c r="M33" i="1"/>
  <c r="H15" i="29"/>
  <c r="L40" i="1" s="1"/>
  <c r="L35" i="1"/>
  <c r="M31" i="1"/>
  <c r="L15" i="1"/>
  <c r="L20" i="1" s="1"/>
  <c r="M42" i="1"/>
  <c r="K20" i="1"/>
  <c r="N33" i="1"/>
  <c r="O29" i="1"/>
  <c r="K40" i="1"/>
  <c r="N42" i="1"/>
  <c r="J10" i="29"/>
  <c r="J15" i="29" s="1"/>
  <c r="N31" i="1"/>
  <c r="K15" i="27"/>
  <c r="L4" i="29"/>
  <c r="K8" i="29"/>
  <c r="K17" i="29"/>
  <c r="K6" i="29"/>
  <c r="O31" i="1" s="1"/>
  <c r="I10" i="29"/>
  <c r="M16" i="1" s="1"/>
  <c r="I10" i="26"/>
  <c r="M13" i="1"/>
  <c r="P19" i="1"/>
  <c r="M10" i="28"/>
  <c r="M15" i="28" s="1"/>
  <c r="J15" i="17"/>
  <c r="N15" i="1"/>
  <c r="N8" i="27"/>
  <c r="N17" i="27"/>
  <c r="N9" i="1"/>
  <c r="K15" i="20"/>
  <c r="N17" i="28"/>
  <c r="P17" i="28" s="1"/>
  <c r="N8" i="28"/>
  <c r="K17" i="19"/>
  <c r="L4" i="19"/>
  <c r="L6" i="19" s="1"/>
  <c r="K8" i="19"/>
  <c r="J10" i="19"/>
  <c r="L10" i="27"/>
  <c r="J10" i="4"/>
  <c r="J15" i="4" s="1"/>
  <c r="K10" i="26"/>
  <c r="K15" i="26" s="1"/>
  <c r="K10" i="17"/>
  <c r="O12" i="1" s="1"/>
  <c r="L10" i="20"/>
  <c r="L15" i="20" s="1"/>
  <c r="N4" i="20"/>
  <c r="M8" i="20"/>
  <c r="M17" i="20"/>
  <c r="K10" i="5"/>
  <c r="O9" i="1" s="1"/>
  <c r="M8" i="27"/>
  <c r="M17" i="27"/>
  <c r="M4" i="26"/>
  <c r="L8" i="26"/>
  <c r="L17" i="26"/>
  <c r="M4" i="17"/>
  <c r="M6" i="17" s="1"/>
  <c r="L17" i="17"/>
  <c r="L8" i="17"/>
  <c r="K8" i="4"/>
  <c r="L4" i="4"/>
  <c r="L6" i="4" s="1"/>
  <c r="K17" i="4"/>
  <c r="M4" i="5"/>
  <c r="L17" i="5"/>
  <c r="L8" i="5"/>
  <c r="M8" i="1"/>
  <c r="I15" i="4"/>
  <c r="L18" i="12"/>
  <c r="H18" i="12"/>
  <c r="C18" i="12"/>
  <c r="M18" i="12"/>
  <c r="I18" i="12"/>
  <c r="D18" i="12"/>
  <c r="J18" i="12"/>
  <c r="K18" i="12"/>
  <c r="B18" i="12"/>
  <c r="S11" i="1"/>
  <c r="T11" i="1" s="1"/>
  <c r="F18" i="12"/>
  <c r="O15" i="12"/>
  <c r="P16" i="12" s="1"/>
  <c r="N18" i="12"/>
  <c r="E18" i="12"/>
  <c r="P10" i="12"/>
  <c r="P15" i="12" s="1"/>
  <c r="M35" i="1" l="1"/>
  <c r="N16" i="1"/>
  <c r="N35" i="1"/>
  <c r="P29" i="1"/>
  <c r="O42" i="1"/>
  <c r="O33" i="1"/>
  <c r="K10" i="29"/>
  <c r="K15" i="29" s="1"/>
  <c r="M4" i="29"/>
  <c r="L17" i="29"/>
  <c r="L6" i="29"/>
  <c r="P31" i="1" s="1"/>
  <c r="L8" i="29"/>
  <c r="Q19" i="1"/>
  <c r="M15" i="1"/>
  <c r="M20" i="1" s="1"/>
  <c r="I15" i="26"/>
  <c r="I15" i="29"/>
  <c r="N8" i="1"/>
  <c r="K10" i="4"/>
  <c r="O8" i="1" s="1"/>
  <c r="O15" i="1"/>
  <c r="N10" i="27"/>
  <c r="N10" i="28"/>
  <c r="M10" i="27"/>
  <c r="Q17" i="1" s="1"/>
  <c r="O8" i="28"/>
  <c r="P8" i="28" s="1"/>
  <c r="P6" i="28"/>
  <c r="P4" i="28"/>
  <c r="M10" i="20"/>
  <c r="M15" i="20" s="1"/>
  <c r="J15" i="19"/>
  <c r="N40" i="1" s="1"/>
  <c r="N13" i="1"/>
  <c r="K10" i="19"/>
  <c r="K15" i="17"/>
  <c r="L8" i="19"/>
  <c r="M4" i="19"/>
  <c r="M6" i="19" s="1"/>
  <c r="L17" i="19"/>
  <c r="P14" i="1"/>
  <c r="L15" i="27"/>
  <c r="P17" i="1"/>
  <c r="K15" i="5"/>
  <c r="N8" i="20"/>
  <c r="O4" i="20"/>
  <c r="N17" i="20"/>
  <c r="P17" i="20" s="1"/>
  <c r="Y14" i="1" s="1"/>
  <c r="L10" i="5"/>
  <c r="P9" i="1" s="1"/>
  <c r="L10" i="17"/>
  <c r="L15" i="17" s="1"/>
  <c r="L10" i="26"/>
  <c r="L15" i="26" s="1"/>
  <c r="P17" i="27"/>
  <c r="Y17" i="1" s="1"/>
  <c r="O6" i="27"/>
  <c r="AA11" i="1"/>
  <c r="N4" i="17"/>
  <c r="N6" i="17" s="1"/>
  <c r="M8" i="17"/>
  <c r="Q6" i="17"/>
  <c r="M17" i="17"/>
  <c r="N4" i="5"/>
  <c r="M8" i="5"/>
  <c r="M17" i="5"/>
  <c r="M4" i="4"/>
  <c r="M6" i="4" s="1"/>
  <c r="L17" i="4"/>
  <c r="L8" i="4"/>
  <c r="M17" i="26"/>
  <c r="N4" i="26"/>
  <c r="M8" i="26"/>
  <c r="P18" i="12"/>
  <c r="M40" i="1" l="1"/>
  <c r="O16" i="1"/>
  <c r="K15" i="4"/>
  <c r="P42" i="1"/>
  <c r="Q29" i="1"/>
  <c r="L10" i="29"/>
  <c r="L15" i="29" s="1"/>
  <c r="P33" i="1"/>
  <c r="M15" i="27"/>
  <c r="N4" i="29"/>
  <c r="M6" i="29"/>
  <c r="Q31" i="1" s="1"/>
  <c r="M8" i="29"/>
  <c r="M17" i="29"/>
  <c r="N15" i="27"/>
  <c r="R17" i="1"/>
  <c r="O10" i="28"/>
  <c r="S19" i="1" s="1"/>
  <c r="P15" i="1"/>
  <c r="Q14" i="1"/>
  <c r="N15" i="28"/>
  <c r="R19" i="1"/>
  <c r="L15" i="5"/>
  <c r="N20" i="1"/>
  <c r="F18" i="28"/>
  <c r="H18" i="28"/>
  <c r="O35" i="1"/>
  <c r="M8" i="19"/>
  <c r="M17" i="19"/>
  <c r="N4" i="19"/>
  <c r="N6" i="19" s="1"/>
  <c r="O13" i="1"/>
  <c r="K15" i="19"/>
  <c r="L10" i="19"/>
  <c r="M10" i="26"/>
  <c r="Q15" i="1" s="1"/>
  <c r="P12" i="1"/>
  <c r="N10" i="20"/>
  <c r="N15" i="20" s="1"/>
  <c r="M10" i="5"/>
  <c r="M15" i="5" s="1"/>
  <c r="P6" i="20"/>
  <c r="O8" i="20"/>
  <c r="P8" i="20" s="1"/>
  <c r="P4" i="20"/>
  <c r="O8" i="27"/>
  <c r="P6" i="27"/>
  <c r="P4" i="27"/>
  <c r="M15" i="26"/>
  <c r="L10" i="4"/>
  <c r="M8" i="4"/>
  <c r="M17" i="4"/>
  <c r="N4" i="4"/>
  <c r="N6" i="4" s="1"/>
  <c r="O4" i="26"/>
  <c r="N8" i="26"/>
  <c r="N17" i="26"/>
  <c r="P17" i="26" s="1"/>
  <c r="Y15" i="1" s="1"/>
  <c r="N8" i="5"/>
  <c r="O4" i="5"/>
  <c r="N17" i="5"/>
  <c r="P17" i="5" s="1"/>
  <c r="Y9" i="1" s="1"/>
  <c r="M10" i="17"/>
  <c r="N8" i="17"/>
  <c r="O4" i="17"/>
  <c r="O6" i="17" s="1"/>
  <c r="N17" i="17"/>
  <c r="P17" i="17" s="1"/>
  <c r="Y12" i="1" s="1"/>
  <c r="O40" i="1" l="1"/>
  <c r="O20" i="1"/>
  <c r="P16" i="1"/>
  <c r="Q33" i="1"/>
  <c r="R29" i="1"/>
  <c r="Q42" i="1"/>
  <c r="M10" i="29"/>
  <c r="M15" i="29" s="1"/>
  <c r="P8" i="27"/>
  <c r="O4" i="29"/>
  <c r="N17" i="29"/>
  <c r="N8" i="29"/>
  <c r="N6" i="29"/>
  <c r="R31" i="1" s="1"/>
  <c r="P4" i="29"/>
  <c r="K18" i="28"/>
  <c r="O15" i="28"/>
  <c r="P16" i="28" s="1"/>
  <c r="J18" i="28"/>
  <c r="L18" i="28"/>
  <c r="D18" i="28"/>
  <c r="N18" i="28"/>
  <c r="E18" i="28"/>
  <c r="M18" i="28"/>
  <c r="P10" i="28"/>
  <c r="P15" i="28" s="1"/>
  <c r="C18" i="28"/>
  <c r="B18" i="28"/>
  <c r="I18" i="28"/>
  <c r="T19" i="1"/>
  <c r="P35" i="1"/>
  <c r="N8" i="19"/>
  <c r="O4" i="19"/>
  <c r="O6" i="19" s="1"/>
  <c r="N17" i="19"/>
  <c r="P17" i="19" s="1"/>
  <c r="Y13" i="1" s="1"/>
  <c r="P13" i="1"/>
  <c r="L15" i="19"/>
  <c r="M10" i="19"/>
  <c r="R14" i="1"/>
  <c r="Q9" i="1"/>
  <c r="N10" i="26"/>
  <c r="R15" i="1" s="1"/>
  <c r="N10" i="17"/>
  <c r="R12" i="1" s="1"/>
  <c r="O10" i="20"/>
  <c r="M10" i="4"/>
  <c r="Q8" i="1" s="1"/>
  <c r="O10" i="27"/>
  <c r="M15" i="17"/>
  <c r="Q12" i="1"/>
  <c r="N8" i="4"/>
  <c r="O4" i="4"/>
  <c r="N17" i="4"/>
  <c r="O8" i="17"/>
  <c r="P8" i="17" s="1"/>
  <c r="P6" i="17"/>
  <c r="P4" i="17"/>
  <c r="N10" i="5"/>
  <c r="L15" i="4"/>
  <c r="P8" i="1"/>
  <c r="O8" i="26"/>
  <c r="P8" i="26" s="1"/>
  <c r="P6" i="26"/>
  <c r="P4" i="26"/>
  <c r="O8" i="5"/>
  <c r="P8" i="5" s="1"/>
  <c r="P6" i="5"/>
  <c r="P4" i="5"/>
  <c r="P40" i="1" l="1"/>
  <c r="Q16" i="1"/>
  <c r="R33" i="1"/>
  <c r="R35" i="1" s="1"/>
  <c r="S29" i="1"/>
  <c r="P17" i="29"/>
  <c r="Y16" i="1" s="1"/>
  <c r="R42" i="1"/>
  <c r="T42" i="1" s="1"/>
  <c r="F18" i="27"/>
  <c r="B18" i="27"/>
  <c r="D18" i="27"/>
  <c r="C18" i="27"/>
  <c r="E18" i="27"/>
  <c r="O8" i="29"/>
  <c r="O6" i="29"/>
  <c r="N10" i="29"/>
  <c r="Q4" i="4"/>
  <c r="O6" i="4"/>
  <c r="Q35" i="1"/>
  <c r="P18" i="28"/>
  <c r="S17" i="1"/>
  <c r="T17" i="1" s="1"/>
  <c r="N18" i="27"/>
  <c r="M15" i="4"/>
  <c r="N15" i="26"/>
  <c r="P20" i="1"/>
  <c r="N10" i="19"/>
  <c r="Q13" i="1"/>
  <c r="M15" i="19"/>
  <c r="N10" i="4"/>
  <c r="R8" i="1" s="1"/>
  <c r="O8" i="19"/>
  <c r="P8" i="19" s="1"/>
  <c r="P4" i="19"/>
  <c r="N15" i="17"/>
  <c r="O10" i="5"/>
  <c r="K18" i="5" s="1"/>
  <c r="H18" i="20"/>
  <c r="E18" i="20"/>
  <c r="D18" i="20"/>
  <c r="I18" i="20"/>
  <c r="N18" i="20"/>
  <c r="B18" i="20"/>
  <c r="S14" i="1"/>
  <c r="T14" i="1" s="1"/>
  <c r="AA14" i="1" s="1"/>
  <c r="L18" i="20"/>
  <c r="J18" i="20"/>
  <c r="O15" i="20"/>
  <c r="P16" i="20" s="1"/>
  <c r="C18" i="20"/>
  <c r="K18" i="20"/>
  <c r="F18" i="20"/>
  <c r="M18" i="20"/>
  <c r="P10" i="20"/>
  <c r="P15" i="20" s="1"/>
  <c r="M18" i="27"/>
  <c r="I18" i="27"/>
  <c r="L18" i="27"/>
  <c r="H18" i="27"/>
  <c r="K18" i="27"/>
  <c r="O15" i="27"/>
  <c r="J18" i="27"/>
  <c r="P10" i="27"/>
  <c r="P15" i="27" s="1"/>
  <c r="O10" i="26"/>
  <c r="P17" i="4"/>
  <c r="Y8" i="1" s="1"/>
  <c r="N15" i="5"/>
  <c r="R9" i="1"/>
  <c r="O8" i="4"/>
  <c r="P4" i="4"/>
  <c r="Q6" i="5"/>
  <c r="O10" i="17"/>
  <c r="Q20" i="1" l="1"/>
  <c r="Q40" i="1"/>
  <c r="P8" i="29"/>
  <c r="S33" i="1"/>
  <c r="T33" i="1" s="1"/>
  <c r="P6" i="29"/>
  <c r="S31" i="1"/>
  <c r="T31" i="1" s="1"/>
  <c r="P16" i="27"/>
  <c r="N15" i="29"/>
  <c r="R16" i="1"/>
  <c r="O10" i="29"/>
  <c r="P10" i="29" s="1"/>
  <c r="P15" i="29" s="1"/>
  <c r="I18" i="5"/>
  <c r="N15" i="4"/>
  <c r="P6" i="19"/>
  <c r="O10" i="19"/>
  <c r="N15" i="19"/>
  <c r="R13" i="1"/>
  <c r="O10" i="4"/>
  <c r="C18" i="4" s="1"/>
  <c r="P10" i="5"/>
  <c r="P15" i="5" s="1"/>
  <c r="S9" i="1"/>
  <c r="T9" i="1" s="1"/>
  <c r="E18" i="5"/>
  <c r="L18" i="5"/>
  <c r="N18" i="5"/>
  <c r="B18" i="5"/>
  <c r="D18" i="5"/>
  <c r="J18" i="5"/>
  <c r="C18" i="5"/>
  <c r="F18" i="5"/>
  <c r="M18" i="5"/>
  <c r="O15" i="5"/>
  <c r="P16" i="5" s="1"/>
  <c r="H18" i="5"/>
  <c r="P18" i="20"/>
  <c r="Q6" i="4"/>
  <c r="P18" i="27"/>
  <c r="K18" i="17"/>
  <c r="F18" i="17"/>
  <c r="B18" i="17"/>
  <c r="L18" i="17"/>
  <c r="H18" i="17"/>
  <c r="C18" i="17"/>
  <c r="M18" i="17"/>
  <c r="D18" i="17"/>
  <c r="N18" i="17"/>
  <c r="E18" i="17"/>
  <c r="I18" i="17"/>
  <c r="O15" i="17"/>
  <c r="P16" i="17" s="1"/>
  <c r="J18" i="17"/>
  <c r="S12" i="1"/>
  <c r="T12" i="1" s="1"/>
  <c r="P10" i="17"/>
  <c r="P15" i="17" s="1"/>
  <c r="P6" i="4"/>
  <c r="T29" i="1"/>
  <c r="P8" i="4"/>
  <c r="S15" i="1"/>
  <c r="T15" i="1" s="1"/>
  <c r="E18" i="26"/>
  <c r="J18" i="26"/>
  <c r="N18" i="26"/>
  <c r="C18" i="26"/>
  <c r="H18" i="26"/>
  <c r="L18" i="26"/>
  <c r="B18" i="26"/>
  <c r="K18" i="26"/>
  <c r="I18" i="26"/>
  <c r="O15" i="26"/>
  <c r="P16" i="26" s="1"/>
  <c r="M18" i="26"/>
  <c r="F18" i="26"/>
  <c r="D18" i="26"/>
  <c r="P10" i="26"/>
  <c r="P15" i="26" s="1"/>
  <c r="R40" i="1" l="1"/>
  <c r="R20" i="1"/>
  <c r="S16" i="1"/>
  <c r="T16" i="1" s="1"/>
  <c r="M18" i="29"/>
  <c r="N18" i="29"/>
  <c r="H18" i="29"/>
  <c r="O15" i="29"/>
  <c r="I18" i="29"/>
  <c r="J18" i="29"/>
  <c r="C18" i="29"/>
  <c r="D18" i="29"/>
  <c r="E18" i="29"/>
  <c r="K18" i="29"/>
  <c r="F18" i="29"/>
  <c r="L18" i="29"/>
  <c r="B18" i="29"/>
  <c r="N18" i="4"/>
  <c r="I18" i="4"/>
  <c r="H18" i="4"/>
  <c r="O15" i="4"/>
  <c r="P16" i="4" s="1"/>
  <c r="E18" i="4"/>
  <c r="J18" i="4"/>
  <c r="M18" i="4"/>
  <c r="L18" i="4"/>
  <c r="K18" i="4"/>
  <c r="F18" i="4"/>
  <c r="S8" i="1"/>
  <c r="T8" i="1" s="1"/>
  <c r="AA8" i="1" s="1"/>
  <c r="P10" i="4"/>
  <c r="P15" i="4" s="1"/>
  <c r="B18" i="4"/>
  <c r="D18" i="4"/>
  <c r="N18" i="19"/>
  <c r="K18" i="19"/>
  <c r="L18" i="19"/>
  <c r="J18" i="19"/>
  <c r="S13" i="1"/>
  <c r="T13" i="1" s="1"/>
  <c r="AA13" i="1" s="1"/>
  <c r="C18" i="19"/>
  <c r="D18" i="19"/>
  <c r="F18" i="19"/>
  <c r="P10" i="19"/>
  <c r="P15" i="19" s="1"/>
  <c r="M18" i="19"/>
  <c r="B18" i="19"/>
  <c r="I18" i="19"/>
  <c r="E18" i="19"/>
  <c r="O15" i="19"/>
  <c r="P16" i="19" s="1"/>
  <c r="H18" i="19"/>
  <c r="P18" i="5"/>
  <c r="P18" i="26"/>
  <c r="T35" i="1"/>
  <c r="P18" i="17"/>
  <c r="AA15" i="1"/>
  <c r="S35" i="1"/>
  <c r="AA9" i="1"/>
  <c r="AA12" i="1"/>
  <c r="G43" i="1" l="1"/>
  <c r="F43" i="1"/>
  <c r="I43" i="1"/>
  <c r="M43" i="1"/>
  <c r="Q43" i="1"/>
  <c r="L43" i="1"/>
  <c r="P43" i="1"/>
  <c r="H43" i="1"/>
  <c r="J43" i="1"/>
  <c r="O43" i="1"/>
  <c r="N43" i="1"/>
  <c r="R43" i="1"/>
  <c r="P16" i="29"/>
  <c r="S40" i="1"/>
  <c r="T40" i="1" s="1"/>
  <c r="AA16" i="1"/>
  <c r="T20" i="1"/>
  <c r="AD16" i="1" s="1"/>
  <c r="P18" i="29"/>
  <c r="P18" i="4"/>
  <c r="S20" i="1"/>
  <c r="T21" i="1" s="1"/>
  <c r="P18" i="19"/>
  <c r="AA17" i="1"/>
  <c r="Y20" i="1"/>
  <c r="AA21" i="1" l="1"/>
  <c r="AG16" i="1"/>
  <c r="T43" i="1"/>
  <c r="AD9" i="1"/>
  <c r="AG9" i="1" s="1"/>
  <c r="AD13" i="1"/>
  <c r="AG13" i="1" s="1"/>
  <c r="AD12" i="1"/>
  <c r="AG12" i="1" s="1"/>
  <c r="AD17" i="1"/>
  <c r="AG17" i="1" s="1"/>
  <c r="AD15" i="1"/>
  <c r="AG15" i="1" s="1"/>
  <c r="AD14" i="1"/>
  <c r="AG14" i="1" s="1"/>
  <c r="AD10" i="1"/>
  <c r="AG10" i="1" s="1"/>
  <c r="AG19" i="1"/>
  <c r="AD11" i="1"/>
  <c r="AG11" i="1" s="1"/>
  <c r="AD8" i="1"/>
  <c r="AG8" i="1" s="1"/>
  <c r="AA20" i="1"/>
  <c r="AI20" i="1" l="1"/>
  <c r="AD20" i="1"/>
  <c r="AG21" i="1" s="1"/>
  <c r="AG20" i="1"/>
  <c r="AH20" i="1" l="1"/>
</calcChain>
</file>

<file path=xl/comments1.xml><?xml version="1.0" encoding="utf-8"?>
<comments xmlns="http://schemas.openxmlformats.org/spreadsheetml/2006/main">
  <authors>
    <author>Evelyne Petermans</author>
  </authors>
  <commentList>
    <comment ref="AE4" authorId="0">
      <text>
        <r>
          <rPr>
            <sz val="9"/>
            <color indexed="81"/>
            <rFont val="Tahoma"/>
            <family val="2"/>
          </rPr>
          <t xml:space="preserve">
ONSS inclus dans cot patr employeur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Evelyne Petermans:</t>
        </r>
        <r>
          <rPr>
            <sz val="9"/>
            <color indexed="81"/>
            <rFont val="Tahoma"/>
            <family val="2"/>
          </rPr>
          <t xml:space="preserve">
avec pécule de départ</t>
        </r>
      </text>
    </comment>
  </commentList>
</comments>
</file>

<file path=xl/sharedStrings.xml><?xml version="1.0" encoding="utf-8"?>
<sst xmlns="http://schemas.openxmlformats.org/spreadsheetml/2006/main" count="490" uniqueCount="127">
  <si>
    <t>Nom</t>
  </si>
  <si>
    <t xml:space="preserve">Fonction </t>
  </si>
  <si>
    <t>Jan</t>
  </si>
  <si>
    <t>Fév</t>
  </si>
  <si>
    <t>Mars</t>
  </si>
  <si>
    <t>Avril</t>
  </si>
  <si>
    <t>Mai</t>
  </si>
  <si>
    <t>PV</t>
  </si>
  <si>
    <t>Juin</t>
  </si>
  <si>
    <t>Juillet</t>
  </si>
  <si>
    <t>Août</t>
  </si>
  <si>
    <t>Sept</t>
  </si>
  <si>
    <t>Oct</t>
  </si>
  <si>
    <t>Nov</t>
  </si>
  <si>
    <t>Déc</t>
  </si>
  <si>
    <t>PFA</t>
  </si>
  <si>
    <t>TOTAL BRUT + ONSS</t>
  </si>
  <si>
    <t>Frais déplact.</t>
  </si>
  <si>
    <t>Indemn. forfaitaire</t>
  </si>
  <si>
    <t>Chèques repas</t>
  </si>
  <si>
    <t>Provision PV</t>
  </si>
  <si>
    <t>Provision PFA</t>
  </si>
  <si>
    <t>TOTAL REMUN</t>
  </si>
  <si>
    <t>Assurance de groupe</t>
  </si>
  <si>
    <t>GRAND TOTAL</t>
  </si>
  <si>
    <t>TOTAL</t>
  </si>
  <si>
    <t>Brut ONSS</t>
  </si>
  <si>
    <t>Brut Non ONSS</t>
  </si>
  <si>
    <t>ONSS Employeur</t>
  </si>
  <si>
    <t>Réduc ONSS</t>
  </si>
  <si>
    <t>Réduc PRP</t>
  </si>
  <si>
    <t>Sous-Total</t>
  </si>
  <si>
    <t>Frais déplacement</t>
  </si>
  <si>
    <t>Frais forfaitaires</t>
  </si>
  <si>
    <t>CR employeur</t>
  </si>
  <si>
    <t>Vérif</t>
  </si>
  <si>
    <t>Assur. groupe</t>
  </si>
  <si>
    <t>DE FEYTER Myriam</t>
  </si>
  <si>
    <t>PRIVOT Michaël</t>
  </si>
  <si>
    <t>SIKLOSSY Georgina</t>
  </si>
  <si>
    <t>ENAR aisbl</t>
  </si>
  <si>
    <t>WAHLGREN-DOS SANTOS Juliana</t>
  </si>
  <si>
    <t>Sec. soc. +  CRfees  (prorata)</t>
  </si>
  <si>
    <t>DKV (prorata)</t>
  </si>
  <si>
    <t>Ass AT(prorata)</t>
  </si>
  <si>
    <t>Activa</t>
  </si>
  <si>
    <t>EC</t>
  </si>
  <si>
    <t>PASCOËT Julie</t>
  </si>
  <si>
    <t>Director</t>
  </si>
  <si>
    <t>Vérif brut</t>
  </si>
  <si>
    <t>onss</t>
  </si>
  <si>
    <t>Réalisé</t>
  </si>
  <si>
    <t>Prime</t>
  </si>
  <si>
    <t>Div +</t>
  </si>
  <si>
    <t>CR</t>
  </si>
  <si>
    <t>Mouvements</t>
  </si>
  <si>
    <t>Red prp</t>
  </si>
  <si>
    <t>Prov PV</t>
  </si>
  <si>
    <t>Prov PFA</t>
  </si>
  <si>
    <t>VERIFS</t>
  </si>
  <si>
    <t>Travailleur</t>
  </si>
  <si>
    <t>Employeur</t>
  </si>
  <si>
    <t xml:space="preserve"> </t>
  </si>
  <si>
    <t>NB mois prest</t>
  </si>
  <si>
    <t>FERNANDEZ Claire</t>
  </si>
  <si>
    <t>MARCHANT Anne-Sophie</t>
  </si>
  <si>
    <t>NWABUZO Vivienne</t>
  </si>
  <si>
    <t>&lt;</t>
  </si>
  <si>
    <t>ONSS</t>
  </si>
  <si>
    <t>inclus dans onss mensuel</t>
  </si>
  <si>
    <t>TOT</t>
  </si>
  <si>
    <t>Adultes</t>
  </si>
  <si>
    <t>Enfants</t>
  </si>
  <si>
    <t>NWABUZO Ojeaku Vivienne</t>
  </si>
  <si>
    <t>VARIOStaff trainingUS</t>
  </si>
  <si>
    <t>SNCB</t>
  </si>
  <si>
    <t>SNCB-Tram</t>
  </si>
  <si>
    <t>Ass Groupe 2016</t>
  </si>
  <si>
    <t>DKV 2016</t>
  </si>
  <si>
    <t>Jours Travaillés</t>
  </si>
  <si>
    <t>Heures Travaillées</t>
  </si>
  <si>
    <t xml:space="preserve">CHANDER Sarah </t>
  </si>
  <si>
    <t>CHANDER Sarah</t>
  </si>
  <si>
    <t>A PARTIR DU 1/6/16</t>
  </si>
  <si>
    <t>Entrée le 22/8/16</t>
  </si>
  <si>
    <t>G1001</t>
  </si>
  <si>
    <t>G1002</t>
  </si>
  <si>
    <t>G1003</t>
  </si>
  <si>
    <t>G1004</t>
  </si>
  <si>
    <t>G1005</t>
  </si>
  <si>
    <t>OSFPP</t>
  </si>
  <si>
    <t>Rue Ducale 67 - 1000 Bruxelles</t>
  </si>
  <si>
    <t>entrée le 22/8/16</t>
  </si>
  <si>
    <t>XXX</t>
  </si>
  <si>
    <t>YYY</t>
  </si>
  <si>
    <t>Brut 2017</t>
  </si>
  <si>
    <t>pas la 1ère année</t>
  </si>
  <si>
    <t>Autre donateur</t>
  </si>
  <si>
    <t>ZZZ</t>
  </si>
  <si>
    <t xml:space="preserve"> Officer </t>
  </si>
  <si>
    <t>NDI Officer</t>
  </si>
  <si>
    <t>Brut 2018</t>
  </si>
  <si>
    <t>Staff costs budget 2018</t>
  </si>
  <si>
    <t>Deputy Direction</t>
  </si>
  <si>
    <t>Administrator</t>
  </si>
  <si>
    <t>Advocacy Officer</t>
  </si>
  <si>
    <t>Press &amp; communication Officer</t>
  </si>
  <si>
    <t>Junior Secretary</t>
  </si>
  <si>
    <t>Junior</t>
  </si>
  <si>
    <t>Entrée mi octobre 2017</t>
  </si>
  <si>
    <t>x</t>
  </si>
  <si>
    <t>Provision PV 2018</t>
  </si>
  <si>
    <t>Extourne Prov 2017</t>
  </si>
  <si>
    <t>Dare</t>
  </si>
  <si>
    <t>B</t>
  </si>
  <si>
    <t>Budget officer</t>
  </si>
  <si>
    <t>Budget officer 2,5/5</t>
  </si>
  <si>
    <t>Budger Officer 2,5/5</t>
  </si>
  <si>
    <t>avec toutes les augmentations</t>
  </si>
  <si>
    <t>Prévision index 2018</t>
  </si>
  <si>
    <t>less taxed in 2018</t>
  </si>
  <si>
    <t>maternity leave in 2017</t>
  </si>
  <si>
    <t>4 days /week 2017 &amp; less taxed</t>
  </si>
  <si>
    <t>new job as administrator 2018</t>
  </si>
  <si>
    <t>new job</t>
  </si>
  <si>
    <t>MDF on 2017</t>
  </si>
  <si>
    <t>two consultants for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</si>
</sst>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#,###.00"/>
    <numFmt numFmtId="165" formatCode="#,###.00000"/>
    <numFmt numFmtId="166" formatCode="0.000%"/>
    <numFmt numFmtId="167" formatCode="#,##0.0"/>
    <numFmt numFmtId="168" formatCode="0.0"/>
    <numFmt numFmtId="169" formatCode="0.0000%"/>
    <numFmt numFmtId="170" formatCode="0.0%"/>
    <numFmt numFmtId="171" formatCode="d/mm/yy;@"/>
  </numFmts>
  <fonts count="33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.5"/>
      <name val="Calibri"/>
      <family val="2"/>
      <scheme val="minor"/>
    </font>
    <font>
      <i/>
      <sz val="10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i/>
      <sz val="10.5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92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164" fontId="1" fillId="0" borderId="1" xfId="0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1" fillId="0" borderId="0" xfId="0" applyNumberFormat="1" applyFont="1"/>
    <xf numFmtId="164" fontId="3" fillId="4" borderId="0" xfId="0" applyNumberFormat="1" applyFont="1" applyFill="1"/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Fill="1"/>
    <xf numFmtId="164" fontId="4" fillId="0" borderId="1" xfId="0" applyNumberFormat="1" applyFont="1" applyFill="1" applyBorder="1"/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Fill="1"/>
    <xf numFmtId="164" fontId="2" fillId="0" borderId="0" xfId="0" applyNumberFormat="1" applyFont="1" applyAlignment="1"/>
    <xf numFmtId="164" fontId="4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1" fillId="0" borderId="0" xfId="0" applyNumberFormat="1" applyFont="1" applyFill="1"/>
    <xf numFmtId="0" fontId="0" fillId="0" borderId="0" xfId="0" applyFill="1"/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0" fillId="0" borderId="0" xfId="0" applyNumberFormat="1"/>
    <xf numFmtId="164" fontId="3" fillId="6" borderId="0" xfId="0" applyNumberFormat="1" applyFont="1" applyFill="1"/>
    <xf numFmtId="4" fontId="7" fillId="0" borderId="0" xfId="0" applyNumberFormat="1" applyFont="1"/>
    <xf numFmtId="4" fontId="8" fillId="0" borderId="0" xfId="0" applyNumberFormat="1" applyFont="1"/>
    <xf numFmtId="4" fontId="7" fillId="0" borderId="0" xfId="0" applyNumberFormat="1" applyFont="1" applyAlignment="1">
      <alignment horizontal="right"/>
    </xf>
    <xf numFmtId="0" fontId="9" fillId="0" borderId="0" xfId="0" applyFont="1"/>
    <xf numFmtId="4" fontId="10" fillId="0" borderId="0" xfId="0" applyNumberFormat="1" applyFont="1"/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3" borderId="2" xfId="0" applyNumberFormat="1" applyFont="1" applyFill="1" applyBorder="1" applyAlignment="1">
      <alignment vertical="center"/>
    </xf>
    <xf numFmtId="10" fontId="11" fillId="3" borderId="3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/>
    <xf numFmtId="4" fontId="17" fillId="0" borderId="0" xfId="0" applyNumberFormat="1" applyFont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3" fillId="7" borderId="0" xfId="0" applyNumberFormat="1" applyFont="1" applyFill="1" applyAlignment="1">
      <alignment vertical="center"/>
    </xf>
    <xf numFmtId="4" fontId="13" fillId="7" borderId="0" xfId="0" applyNumberFormat="1" applyFont="1" applyFill="1"/>
    <xf numFmtId="4" fontId="8" fillId="7" borderId="0" xfId="0" applyNumberFormat="1" applyFont="1" applyFill="1"/>
    <xf numFmtId="4" fontId="8" fillId="7" borderId="0" xfId="0" applyNumberFormat="1" applyFont="1" applyFill="1" applyAlignment="1">
      <alignment vertical="center"/>
    </xf>
    <xf numFmtId="4" fontId="0" fillId="0" borderId="0" xfId="0" applyNumberFormat="1"/>
    <xf numFmtId="4" fontId="0" fillId="8" borderId="0" xfId="0" applyNumberFormat="1" applyFill="1"/>
    <xf numFmtId="0" fontId="0" fillId="8" borderId="0" xfId="0" applyFill="1"/>
    <xf numFmtId="0" fontId="0" fillId="0" borderId="6" xfId="0" applyBorder="1"/>
    <xf numFmtId="4" fontId="0" fillId="0" borderId="6" xfId="0" applyNumberFormat="1" applyBorder="1"/>
    <xf numFmtId="4" fontId="10" fillId="10" borderId="1" xfId="0" applyNumberFormat="1" applyFont="1" applyFill="1" applyBorder="1" applyAlignment="1">
      <alignment horizontal="center" vertical="center" wrapText="1"/>
    </xf>
    <xf numFmtId="2" fontId="0" fillId="0" borderId="0" xfId="1" applyNumberFormat="1" applyFont="1"/>
    <xf numFmtId="4" fontId="10" fillId="11" borderId="1" xfId="0" applyNumberFormat="1" applyFont="1" applyFill="1" applyBorder="1" applyAlignment="1">
      <alignment horizontal="center" vertical="center" wrapText="1"/>
    </xf>
    <xf numFmtId="4" fontId="19" fillId="11" borderId="5" xfId="0" applyNumberFormat="1" applyFont="1" applyFill="1" applyBorder="1" applyAlignment="1">
      <alignment vertical="center"/>
    </xf>
    <xf numFmtId="166" fontId="0" fillId="0" borderId="0" xfId="1" applyNumberFormat="1" applyFont="1"/>
    <xf numFmtId="4" fontId="8" fillId="0" borderId="0" xfId="0" applyNumberFormat="1" applyFont="1" applyFill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8" fontId="13" fillId="11" borderId="0" xfId="0" applyNumberFormat="1" applyFont="1" applyFill="1"/>
    <xf numFmtId="4" fontId="16" fillId="7" borderId="0" xfId="0" applyNumberFormat="1" applyFont="1" applyFill="1" applyAlignment="1">
      <alignment vertical="center"/>
    </xf>
    <xf numFmtId="166" fontId="3" fillId="0" borderId="0" xfId="1" applyNumberFormat="1" applyFont="1"/>
    <xf numFmtId="0" fontId="21" fillId="0" borderId="0" xfId="0" applyFont="1"/>
    <xf numFmtId="0" fontId="9" fillId="0" borderId="0" xfId="0" applyFont="1" applyFill="1"/>
    <xf numFmtId="4" fontId="12" fillId="0" borderId="0" xfId="0" applyNumberFormat="1" applyFont="1" applyFill="1" applyBorder="1" applyAlignment="1">
      <alignment vertical="center"/>
    </xf>
    <xf numFmtId="169" fontId="0" fillId="0" borderId="0" xfId="1" applyNumberFormat="1" applyFont="1"/>
    <xf numFmtId="4" fontId="17" fillId="0" borderId="0" xfId="0" applyNumberFormat="1" applyFont="1" applyFill="1" applyAlignment="1">
      <alignment vertical="center"/>
    </xf>
    <xf numFmtId="167" fontId="19" fillId="11" borderId="0" xfId="0" applyNumberFormat="1" applyFont="1" applyFill="1" applyAlignment="1">
      <alignment vertical="center"/>
    </xf>
    <xf numFmtId="4" fontId="9" fillId="0" borderId="0" xfId="0" applyNumberFormat="1" applyFont="1"/>
    <xf numFmtId="4" fontId="21" fillId="0" borderId="0" xfId="2" applyNumberFormat="1" applyFont="1"/>
    <xf numFmtId="4" fontId="9" fillId="0" borderId="0" xfId="0" applyNumberFormat="1" applyFont="1" applyFill="1"/>
    <xf numFmtId="4" fontId="21" fillId="0" borderId="0" xfId="0" applyNumberFormat="1" applyFont="1"/>
    <xf numFmtId="10" fontId="0" fillId="0" borderId="0" xfId="1" applyNumberFormat="1" applyFont="1"/>
    <xf numFmtId="0" fontId="22" fillId="0" borderId="0" xfId="0" applyFont="1"/>
    <xf numFmtId="43" fontId="11" fillId="3" borderId="2" xfId="2" applyNumberFormat="1" applyFont="1" applyFill="1" applyBorder="1" applyAlignment="1">
      <alignment horizontal="left" vertical="center"/>
    </xf>
    <xf numFmtId="4" fontId="8" fillId="5" borderId="0" xfId="0" applyNumberFormat="1" applyFont="1" applyFill="1"/>
    <xf numFmtId="170" fontId="0" fillId="0" borderId="0" xfId="1" applyNumberFormat="1" applyFont="1"/>
    <xf numFmtId="164" fontId="1" fillId="0" borderId="1" xfId="0" applyNumberFormat="1" applyFont="1" applyFill="1" applyBorder="1" applyAlignment="1">
      <alignment horizontal="left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7" fillId="0" borderId="0" xfId="0" applyNumberFormat="1" applyFont="1" applyFill="1"/>
    <xf numFmtId="4" fontId="13" fillId="0" borderId="6" xfId="0" applyNumberFormat="1" applyFont="1" applyFill="1" applyBorder="1"/>
    <xf numFmtId="4" fontId="8" fillId="0" borderId="0" xfId="0" applyNumberFormat="1" applyFont="1" applyFill="1"/>
    <xf numFmtId="4" fontId="10" fillId="0" borderId="0" xfId="0" applyNumberFormat="1" applyFont="1" applyFill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9" fillId="12" borderId="0" xfId="0" applyFont="1" applyFill="1"/>
    <xf numFmtId="0" fontId="9" fillId="12" borderId="7" xfId="0" applyFont="1" applyFill="1" applyBorder="1"/>
    <xf numFmtId="0" fontId="9" fillId="12" borderId="8" xfId="0" applyFont="1" applyFill="1" applyBorder="1"/>
    <xf numFmtId="0" fontId="9" fillId="12" borderId="9" xfId="0" applyFont="1" applyFill="1" applyBorder="1"/>
    <xf numFmtId="0" fontId="9" fillId="12" borderId="10" xfId="0" applyFont="1" applyFill="1" applyBorder="1"/>
    <xf numFmtId="0" fontId="22" fillId="12" borderId="0" xfId="0" applyFont="1" applyFill="1"/>
    <xf numFmtId="4" fontId="21" fillId="12" borderId="0" xfId="0" applyNumberFormat="1" applyFont="1" applyFill="1"/>
    <xf numFmtId="0" fontId="21" fillId="12" borderId="0" xfId="0" applyFont="1" applyFill="1"/>
    <xf numFmtId="4" fontId="24" fillId="0" borderId="0" xfId="0" applyNumberFormat="1" applyFont="1"/>
    <xf numFmtId="4" fontId="14" fillId="0" borderId="4" xfId="0" applyNumberFormat="1" applyFont="1" applyBorder="1" applyAlignment="1">
      <alignment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/>
    <xf numFmtId="171" fontId="8" fillId="0" borderId="0" xfId="0" applyNumberFormat="1" applyFont="1"/>
    <xf numFmtId="0" fontId="22" fillId="14" borderId="0" xfId="0" applyFont="1" applyFill="1"/>
    <xf numFmtId="0" fontId="21" fillId="14" borderId="0" xfId="0" applyFont="1" applyFill="1" applyAlignment="1">
      <alignment horizontal="right"/>
    </xf>
    <xf numFmtId="4" fontId="8" fillId="11" borderId="0" xfId="0" applyNumberFormat="1" applyFont="1" applyFill="1"/>
    <xf numFmtId="4" fontId="14" fillId="11" borderId="1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4" fontId="9" fillId="13" borderId="0" xfId="0" applyNumberFormat="1" applyFont="1" applyFill="1"/>
    <xf numFmtId="0" fontId="9" fillId="13" borderId="0" xfId="0" applyFont="1" applyFill="1"/>
    <xf numFmtId="4" fontId="10" fillId="15" borderId="1" xfId="0" applyNumberFormat="1" applyFont="1" applyFill="1" applyBorder="1" applyAlignment="1">
      <alignment horizontal="center" vertical="center" wrapText="1"/>
    </xf>
    <xf numFmtId="4" fontId="8" fillId="15" borderId="0" xfId="0" applyNumberFormat="1" applyFont="1" applyFill="1"/>
    <xf numFmtId="4" fontId="14" fillId="15" borderId="1" xfId="0" applyNumberFormat="1" applyFont="1" applyFill="1" applyBorder="1" applyAlignment="1">
      <alignment vertical="center"/>
    </xf>
    <xf numFmtId="4" fontId="10" fillId="15" borderId="0" xfId="0" applyNumberFormat="1" applyFont="1" applyFill="1" applyAlignment="1">
      <alignment horizontal="center"/>
    </xf>
    <xf numFmtId="4" fontId="14" fillId="0" borderId="0" xfId="0" applyNumberFormat="1" applyFont="1" applyFill="1" applyBorder="1" applyAlignment="1">
      <alignment vertical="center"/>
    </xf>
    <xf numFmtId="4" fontId="9" fillId="16" borderId="15" xfId="0" applyNumberFormat="1" applyFont="1" applyFill="1" applyBorder="1" applyAlignment="1">
      <alignment vertical="center"/>
    </xf>
    <xf numFmtId="4" fontId="9" fillId="16" borderId="16" xfId="0" applyNumberFormat="1" applyFont="1" applyFill="1" applyBorder="1" applyAlignment="1">
      <alignment vertical="center"/>
    </xf>
    <xf numFmtId="4" fontId="21" fillId="16" borderId="17" xfId="0" applyNumberFormat="1" applyFont="1" applyFill="1" applyBorder="1" applyAlignment="1">
      <alignment vertical="center"/>
    </xf>
    <xf numFmtId="4" fontId="21" fillId="16" borderId="18" xfId="0" applyNumberFormat="1" applyFont="1" applyFill="1" applyBorder="1" applyAlignment="1">
      <alignment vertical="center"/>
    </xf>
    <xf numFmtId="4" fontId="17" fillId="16" borderId="15" xfId="0" applyNumberFormat="1" applyFont="1" applyFill="1" applyBorder="1" applyAlignment="1">
      <alignment horizontal="center" vertical="center"/>
    </xf>
    <xf numFmtId="4" fontId="17" fillId="16" borderId="16" xfId="0" applyNumberFormat="1" applyFont="1" applyFill="1" applyBorder="1" applyAlignment="1">
      <alignment horizontal="center" vertical="center"/>
    </xf>
    <xf numFmtId="0" fontId="9" fillId="14" borderId="0" xfId="0" applyFont="1" applyFill="1"/>
    <xf numFmtId="3" fontId="21" fillId="5" borderId="19" xfId="0" applyNumberFormat="1" applyFont="1" applyFill="1" applyBorder="1"/>
    <xf numFmtId="3" fontId="21" fillId="5" borderId="20" xfId="0" applyNumberFormat="1" applyFont="1" applyFill="1" applyBorder="1"/>
    <xf numFmtId="3" fontId="21" fillId="0" borderId="20" xfId="0" applyNumberFormat="1" applyFont="1" applyBorder="1"/>
    <xf numFmtId="3" fontId="21" fillId="0" borderId="20" xfId="0" applyNumberFormat="1" applyFont="1" applyFill="1" applyBorder="1"/>
    <xf numFmtId="4" fontId="21" fillId="0" borderId="21" xfId="0" applyNumberFormat="1" applyFont="1" applyFill="1" applyBorder="1"/>
    <xf numFmtId="4" fontId="10" fillId="0" borderId="0" xfId="0" applyNumberFormat="1" applyFont="1" applyFill="1" applyAlignment="1">
      <alignment horizontal="right" vertical="center"/>
    </xf>
    <xf numFmtId="4" fontId="10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vertical="center"/>
    </xf>
    <xf numFmtId="4" fontId="8" fillId="9" borderId="12" xfId="0" applyNumberFormat="1" applyFont="1" applyFill="1" applyBorder="1" applyAlignment="1">
      <alignment vertical="center"/>
    </xf>
    <xf numFmtId="4" fontId="12" fillId="9" borderId="12" xfId="0" applyNumberFormat="1" applyFont="1" applyFill="1" applyBorder="1" applyAlignment="1">
      <alignment vertical="center"/>
    </xf>
    <xf numFmtId="4" fontId="14" fillId="9" borderId="13" xfId="0" applyNumberFormat="1" applyFont="1" applyFill="1" applyBorder="1" applyAlignment="1">
      <alignment vertical="center"/>
    </xf>
    <xf numFmtId="43" fontId="13" fillId="0" borderId="0" xfId="2" applyFont="1" applyAlignment="1">
      <alignment vertical="center"/>
    </xf>
    <xf numFmtId="4" fontId="8" fillId="8" borderId="0" xfId="0" applyNumberFormat="1" applyFont="1" applyFill="1" applyAlignment="1">
      <alignment vertical="center"/>
    </xf>
    <xf numFmtId="164" fontId="1" fillId="18" borderId="1" xfId="0" applyNumberFormat="1" applyFont="1" applyFill="1" applyBorder="1" applyAlignment="1">
      <alignment horizontal="center"/>
    </xf>
    <xf numFmtId="4" fontId="11" fillId="0" borderId="0" xfId="0" applyNumberFormat="1" applyFont="1"/>
    <xf numFmtId="4" fontId="28" fillId="11" borderId="1" xfId="0" applyNumberFormat="1" applyFont="1" applyFill="1" applyBorder="1" applyAlignment="1">
      <alignment horizontal="center" vertical="center" wrapText="1"/>
    </xf>
    <xf numFmtId="4" fontId="11" fillId="11" borderId="0" xfId="0" applyNumberFormat="1" applyFont="1" applyFill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7" borderId="0" xfId="0" applyNumberFormat="1" applyFont="1" applyFill="1"/>
    <xf numFmtId="4" fontId="11" fillId="7" borderId="0" xfId="0" applyNumberFormat="1" applyFont="1" applyFill="1" applyAlignment="1">
      <alignment vertical="center"/>
    </xf>
    <xf numFmtId="4" fontId="10" fillId="9" borderId="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4" fontId="30" fillId="9" borderId="12" xfId="0" applyNumberFormat="1" applyFont="1" applyFill="1" applyBorder="1" applyAlignment="1">
      <alignment vertical="center"/>
    </xf>
    <xf numFmtId="4" fontId="31" fillId="16" borderId="15" xfId="0" applyNumberFormat="1" applyFont="1" applyFill="1" applyBorder="1" applyAlignment="1">
      <alignment vertical="center"/>
    </xf>
    <xf numFmtId="4" fontId="31" fillId="16" borderId="16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horizontal="center" vertical="center" wrapText="1"/>
    </xf>
    <xf numFmtId="4" fontId="24" fillId="11" borderId="0" xfId="0" applyNumberFormat="1" applyFont="1" applyFill="1"/>
    <xf numFmtId="4" fontId="24" fillId="15" borderId="0" xfId="0" applyNumberFormat="1" applyFont="1" applyFill="1"/>
    <xf numFmtId="2" fontId="9" fillId="12" borderId="0" xfId="0" applyNumberFormat="1" applyFont="1" applyFill="1"/>
    <xf numFmtId="4" fontId="12" fillId="18" borderId="0" xfId="0" applyNumberFormat="1" applyFont="1" applyFill="1" applyAlignment="1">
      <alignment vertical="center"/>
    </xf>
    <xf numFmtId="43" fontId="13" fillId="5" borderId="0" xfId="2" applyFont="1" applyFill="1" applyAlignment="1">
      <alignment vertical="center"/>
    </xf>
    <xf numFmtId="164" fontId="3" fillId="5" borderId="0" xfId="0" applyNumberFormat="1" applyFont="1" applyFill="1"/>
    <xf numFmtId="4" fontId="12" fillId="5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0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9" fontId="1" fillId="0" borderId="0" xfId="1" applyFont="1" applyFill="1"/>
    <xf numFmtId="4" fontId="14" fillId="0" borderId="12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9" fillId="19" borderId="0" xfId="0" applyNumberFormat="1" applyFont="1" applyFill="1"/>
    <xf numFmtId="4" fontId="9" fillId="0" borderId="22" xfId="0" applyNumberFormat="1" applyFont="1" applyBorder="1"/>
    <xf numFmtId="4" fontId="9" fillId="19" borderId="22" xfId="0" applyNumberFormat="1" applyFont="1" applyFill="1" applyBorder="1"/>
    <xf numFmtId="4" fontId="10" fillId="0" borderId="14" xfId="0" applyNumberFormat="1" applyFont="1" applyBorder="1" applyAlignment="1">
      <alignment horizontal="center"/>
    </xf>
    <xf numFmtId="4" fontId="10" fillId="17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vertical="center"/>
    </xf>
    <xf numFmtId="0" fontId="8" fillId="9" borderId="12" xfId="0" applyNumberFormat="1" applyFont="1" applyFill="1" applyBorder="1" applyAlignment="1">
      <alignment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CF53"/>
  <sheetViews>
    <sheetView showZeros="0" tabSelected="1" showOutlineSymbols="0" zoomScaleNormal="100" workbookViewId="0">
      <pane xSplit="2" ySplit="2" topLeftCell="AG3" activePane="bottomRight" state="frozenSplit"/>
      <selection pane="topRight" activeCell="Z1" sqref="Z1"/>
      <selection pane="bottomLeft" activeCell="A11" sqref="A11"/>
      <selection pane="bottomRight" sqref="A1:H4"/>
    </sheetView>
  </sheetViews>
  <sheetFormatPr defaultColWidth="11.7265625" defaultRowHeight="14.5" x14ac:dyDescent="0.35"/>
  <cols>
    <col min="1" max="1" width="27.81640625" style="32" customWidth="1"/>
    <col min="2" max="2" width="26" style="32" customWidth="1"/>
    <col min="3" max="3" width="11.26953125" style="32" customWidth="1"/>
    <col min="4" max="4" width="10" style="32" customWidth="1"/>
    <col min="5" max="5" width="7.81640625" style="157" customWidth="1"/>
    <col min="6" max="6" width="12.26953125" style="32" customWidth="1"/>
    <col min="7" max="13" width="12" style="32" customWidth="1"/>
    <col min="14" max="14" width="12.1796875" style="32" customWidth="1"/>
    <col min="15" max="15" width="13.26953125" style="32" customWidth="1"/>
    <col min="16" max="19" width="12" style="32" customWidth="1"/>
    <col min="20" max="20" width="13.1796875" style="35" customWidth="1"/>
    <col min="21" max="21" width="12.453125" style="32" customWidth="1"/>
    <col min="22" max="22" width="11.54296875" style="32" customWidth="1"/>
    <col min="23" max="23" width="8.54296875" style="32" customWidth="1"/>
    <col min="24" max="26" width="11.1796875" style="32" customWidth="1"/>
    <col min="27" max="27" width="13.7265625" style="35" customWidth="1"/>
    <col min="28" max="29" width="11.7265625" style="32" customWidth="1"/>
    <col min="30" max="30" width="13" style="32" customWidth="1"/>
    <col min="31" max="31" width="11.7265625" style="32" customWidth="1"/>
    <col min="32" max="32" width="11.1796875" style="32" customWidth="1"/>
    <col min="33" max="33" width="14.26953125" style="35" customWidth="1"/>
    <col min="34" max="34" width="11.7265625" style="32"/>
    <col min="35" max="35" width="25.90625" style="32" customWidth="1"/>
    <col min="36" max="36" width="11.7265625" style="32"/>
    <col min="37" max="41" width="11.81640625" style="32" customWidth="1"/>
    <col min="42" max="16384" width="11.7265625" style="32"/>
  </cols>
  <sheetData>
    <row r="1" spans="1:52" ht="31.75" customHeight="1" x14ac:dyDescent="0.45">
      <c r="A1" s="31" t="s">
        <v>40</v>
      </c>
      <c r="L1" s="33" t="s">
        <v>102</v>
      </c>
      <c r="M1" s="123">
        <v>42821</v>
      </c>
      <c r="N1" s="32" t="s">
        <v>118</v>
      </c>
      <c r="T1" s="33"/>
      <c r="AA1" s="33" t="str">
        <f>L1</f>
        <v>Staff costs budget 2018</v>
      </c>
      <c r="AB1" s="123">
        <f>M1</f>
        <v>42821</v>
      </c>
      <c r="AG1" s="33"/>
    </row>
    <row r="2" spans="1:52" ht="24.65" customHeight="1" x14ac:dyDescent="0.35">
      <c r="A2" s="34" t="s">
        <v>91</v>
      </c>
      <c r="T2" s="32"/>
      <c r="U2" s="35"/>
      <c r="AB2" s="35"/>
      <c r="AG2" s="32"/>
      <c r="AH2" s="35"/>
      <c r="AI2" s="35"/>
      <c r="AJ2" s="35"/>
      <c r="AK2" s="35"/>
      <c r="AL2" s="35"/>
      <c r="AM2" s="35"/>
      <c r="AN2" s="35"/>
      <c r="AO2" s="35"/>
    </row>
    <row r="3" spans="1:52" ht="24.65" customHeight="1" x14ac:dyDescent="0.35">
      <c r="A3" s="34"/>
      <c r="T3" s="32"/>
      <c r="U3" s="35"/>
      <c r="AB3" s="35"/>
      <c r="AG3" s="32"/>
      <c r="AH3" s="35"/>
      <c r="AI3" s="35"/>
      <c r="AJ3" s="35"/>
      <c r="AK3" s="35"/>
      <c r="AL3" s="35"/>
      <c r="AM3" s="35"/>
      <c r="AN3" s="35"/>
      <c r="AO3" s="35"/>
      <c r="AQ3" s="187" t="s">
        <v>51</v>
      </c>
      <c r="AR3" s="187"/>
    </row>
    <row r="4" spans="1:52" s="38" customFormat="1" ht="43.5" x14ac:dyDescent="0.35">
      <c r="A4" s="36" t="s">
        <v>0</v>
      </c>
      <c r="B4" s="37" t="s">
        <v>1</v>
      </c>
      <c r="C4" s="37" t="s">
        <v>95</v>
      </c>
      <c r="D4" s="37" t="s">
        <v>101</v>
      </c>
      <c r="E4" s="158" t="s">
        <v>63</v>
      </c>
      <c r="F4" s="116" t="s">
        <v>2</v>
      </c>
      <c r="G4" s="116" t="s">
        <v>3</v>
      </c>
      <c r="H4" s="116" t="s">
        <v>4</v>
      </c>
      <c r="I4" s="116" t="s">
        <v>5</v>
      </c>
      <c r="J4" s="116" t="s">
        <v>6</v>
      </c>
      <c r="K4" s="116" t="s">
        <v>7</v>
      </c>
      <c r="L4" s="116" t="s">
        <v>8</v>
      </c>
      <c r="M4" s="116" t="s">
        <v>9</v>
      </c>
      <c r="N4" s="116" t="s">
        <v>10</v>
      </c>
      <c r="O4" s="116" t="s">
        <v>11</v>
      </c>
      <c r="P4" s="116" t="s">
        <v>12</v>
      </c>
      <c r="Q4" s="116" t="s">
        <v>13</v>
      </c>
      <c r="R4" s="116" t="s">
        <v>14</v>
      </c>
      <c r="S4" s="117" t="s">
        <v>15</v>
      </c>
      <c r="T4" s="114" t="s">
        <v>16</v>
      </c>
      <c r="U4" s="113" t="s">
        <v>17</v>
      </c>
      <c r="V4" s="36" t="s">
        <v>18</v>
      </c>
      <c r="W4" s="37" t="s">
        <v>45</v>
      </c>
      <c r="X4" s="36" t="s">
        <v>19</v>
      </c>
      <c r="Y4" s="36" t="s">
        <v>111</v>
      </c>
      <c r="Z4" s="37" t="s">
        <v>112</v>
      </c>
      <c r="AA4" s="36" t="s">
        <v>22</v>
      </c>
      <c r="AB4" s="37" t="s">
        <v>42</v>
      </c>
      <c r="AC4" s="37" t="s">
        <v>43</v>
      </c>
      <c r="AD4" s="37" t="s">
        <v>44</v>
      </c>
      <c r="AE4" s="66" t="s">
        <v>23</v>
      </c>
      <c r="AF4" s="37" t="s">
        <v>74</v>
      </c>
      <c r="AG4" s="149" t="s">
        <v>24</v>
      </c>
      <c r="AH4" s="164" t="s">
        <v>46</v>
      </c>
      <c r="AI4" s="164" t="s">
        <v>97</v>
      </c>
      <c r="AJ4" s="164" t="s">
        <v>90</v>
      </c>
      <c r="AK4" s="188"/>
      <c r="AL4" s="188"/>
      <c r="AM4" s="188"/>
      <c r="AN4" s="188"/>
      <c r="AO4" s="188"/>
      <c r="AP4" s="38" t="s">
        <v>67</v>
      </c>
      <c r="AQ4" s="68" t="s">
        <v>79</v>
      </c>
      <c r="AR4" s="131" t="s">
        <v>80</v>
      </c>
      <c r="AS4" s="32"/>
      <c r="AT4" s="32"/>
      <c r="AU4" s="32"/>
      <c r="AV4" s="32"/>
      <c r="AW4" s="32"/>
      <c r="AX4" s="32"/>
      <c r="AY4" s="32"/>
      <c r="AZ4" s="32"/>
    </row>
    <row r="5" spans="1:52" s="39" customFormat="1" ht="14.9" customHeight="1" x14ac:dyDescent="0.35">
      <c r="B5" s="155" t="s">
        <v>119</v>
      </c>
      <c r="C5" s="155">
        <v>1.02</v>
      </c>
      <c r="D5" s="155"/>
      <c r="E5" s="159"/>
      <c r="F5" s="96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115"/>
      <c r="W5" s="41"/>
      <c r="Z5" s="39" t="s">
        <v>62</v>
      </c>
      <c r="AA5" s="40"/>
      <c r="AB5" s="41">
        <v>7200</v>
      </c>
      <c r="AC5" s="41"/>
      <c r="AD5" s="41">
        <v>1450</v>
      </c>
      <c r="AF5" s="89">
        <v>0</v>
      </c>
      <c r="AG5" s="40"/>
      <c r="AH5" s="151"/>
      <c r="AI5" s="151"/>
      <c r="AJ5" s="151"/>
      <c r="AK5" s="140" t="s">
        <v>85</v>
      </c>
      <c r="AL5" s="140" t="s">
        <v>86</v>
      </c>
      <c r="AM5" s="140" t="s">
        <v>87</v>
      </c>
      <c r="AN5" s="140" t="s">
        <v>88</v>
      </c>
      <c r="AO5" s="141" t="s">
        <v>89</v>
      </c>
      <c r="AP5" s="38"/>
      <c r="AQ5" s="126"/>
      <c r="AR5" s="134">
        <v>7.6</v>
      </c>
      <c r="AS5" s="32"/>
      <c r="AT5" s="32"/>
      <c r="AU5" s="32"/>
      <c r="AV5" s="32"/>
      <c r="AW5" s="32"/>
      <c r="AX5" s="32"/>
      <c r="AY5" s="32"/>
      <c r="AZ5" s="32"/>
    </row>
    <row r="6" spans="1:52" s="39" customFormat="1" ht="14.9" customHeight="1" x14ac:dyDescent="0.35">
      <c r="E6" s="159"/>
      <c r="T6" s="115"/>
      <c r="W6" s="42"/>
      <c r="AA6" s="40"/>
      <c r="AB6" s="42"/>
      <c r="AC6" s="42"/>
      <c r="AD6" s="42"/>
      <c r="AF6" s="42"/>
      <c r="AG6" s="40"/>
      <c r="AH6" s="151"/>
      <c r="AI6" s="151"/>
      <c r="AJ6" s="151"/>
      <c r="AK6" s="136"/>
      <c r="AL6" s="136"/>
      <c r="AM6" s="136"/>
      <c r="AN6" s="136"/>
      <c r="AO6" s="137"/>
      <c r="AP6" s="38"/>
      <c r="AQ6" s="126"/>
      <c r="AR6" s="132"/>
      <c r="AS6" s="32"/>
      <c r="AT6" s="32"/>
      <c r="AU6" s="32"/>
      <c r="AV6" s="32"/>
      <c r="AW6" s="32"/>
      <c r="AX6" s="32"/>
      <c r="AY6" s="32"/>
      <c r="AZ6" s="32"/>
    </row>
    <row r="7" spans="1:52" s="39" customFormat="1" ht="19.399999999999999" customHeight="1" x14ac:dyDescent="0.35">
      <c r="E7" s="159"/>
      <c r="T7" s="115"/>
      <c r="AA7" s="40"/>
      <c r="AB7" s="40"/>
      <c r="AC7" s="40"/>
      <c r="AD7" s="40"/>
      <c r="AF7" s="40"/>
      <c r="AG7" s="190">
        <v>2018</v>
      </c>
      <c r="AH7" s="191">
        <v>2017</v>
      </c>
      <c r="AI7" s="151"/>
      <c r="AJ7" s="151"/>
      <c r="AK7" s="136"/>
      <c r="AL7" s="136"/>
      <c r="AM7" s="136"/>
      <c r="AN7" s="136"/>
      <c r="AO7" s="137"/>
      <c r="AP7" s="38"/>
      <c r="AQ7" s="126"/>
      <c r="AR7" s="132"/>
      <c r="AS7" s="32"/>
      <c r="AT7" s="32"/>
      <c r="AU7" s="32"/>
      <c r="AV7" s="32"/>
      <c r="AW7" s="32"/>
      <c r="AX7" s="32"/>
      <c r="AY7" s="32"/>
      <c r="AZ7" s="32"/>
    </row>
    <row r="8" spans="1:52" s="43" customFormat="1" ht="19.399999999999999" customHeight="1" x14ac:dyDescent="0.35">
      <c r="A8" s="43" t="str">
        <f>Michaël!A1</f>
        <v>PRIVOT Michaël</v>
      </c>
      <c r="B8" s="73" t="s">
        <v>48</v>
      </c>
      <c r="C8" s="154">
        <v>5553.57</v>
      </c>
      <c r="D8" s="154">
        <f t="shared" ref="D8:D15" si="0">C8*$C$5</f>
        <v>5664.64</v>
      </c>
      <c r="E8" s="74">
        <v>12</v>
      </c>
      <c r="F8" s="43">
        <f>Michaël!B$10</f>
        <v>7112.18</v>
      </c>
      <c r="G8" s="43">
        <f>Michaël!C$10</f>
        <v>7112.18</v>
      </c>
      <c r="H8" s="43">
        <f>Michaël!D$10</f>
        <v>7112.18</v>
      </c>
      <c r="I8" s="177">
        <f>Michaël!E$10</f>
        <v>7237.74</v>
      </c>
      <c r="J8" s="43">
        <f>Michaël!F$10</f>
        <v>7237.74</v>
      </c>
      <c r="K8" s="43">
        <f>Michaël!G$10</f>
        <v>5296.79</v>
      </c>
      <c r="L8" s="43">
        <f>Michaël!H$10</f>
        <v>7237.74</v>
      </c>
      <c r="M8" s="43">
        <f>Michaël!I$10</f>
        <v>7237.74</v>
      </c>
      <c r="N8" s="43">
        <f>Michaël!J$10</f>
        <v>7237.74</v>
      </c>
      <c r="O8" s="43">
        <f>Michaël!K$10</f>
        <v>7237.74</v>
      </c>
      <c r="P8" s="43">
        <f>Michaël!L$10</f>
        <v>7237.74</v>
      </c>
      <c r="Q8" s="43">
        <f>Michaël!M$10</f>
        <v>7237.74</v>
      </c>
      <c r="R8" s="43">
        <f>Michaël!N$10</f>
        <v>7237.74</v>
      </c>
      <c r="S8" s="43">
        <f>Michaël!O$10</f>
        <v>7237.74</v>
      </c>
      <c r="T8" s="182">
        <f t="shared" ref="T8:T14" si="1">SUM(F8:S8)</f>
        <v>99010.73</v>
      </c>
      <c r="U8" s="43">
        <f>Michaël!P12</f>
        <v>2075</v>
      </c>
      <c r="V8" s="43">
        <f>Michaël!P12</f>
        <v>2075</v>
      </c>
      <c r="W8" s="43">
        <f>W$5*W$6</f>
        <v>0</v>
      </c>
      <c r="X8" s="43">
        <f>Michaël!P13</f>
        <v>1545.75</v>
      </c>
      <c r="Y8" s="43">
        <f>Michaël!P17</f>
        <v>12948.6</v>
      </c>
      <c r="Z8" s="43">
        <v>-12528.84</v>
      </c>
      <c r="AA8" s="44">
        <f>SUM(T8:Z8)</f>
        <v>105126.24</v>
      </c>
      <c r="AB8" s="43">
        <f>AB$5*E8/E$20</f>
        <v>720</v>
      </c>
      <c r="AC8" s="43">
        <f>Assurances!N20</f>
        <v>843.84</v>
      </c>
      <c r="AD8" s="43">
        <f>AD$5*$T8/$T$20</f>
        <v>248.72</v>
      </c>
      <c r="AE8" s="43">
        <f>Assurances!N3</f>
        <v>198.26</v>
      </c>
      <c r="AF8" s="43">
        <f t="shared" ref="AF8:AF17" si="2">AF$5/9</f>
        <v>0</v>
      </c>
      <c r="AG8" s="44">
        <f t="shared" ref="AG8:AG14" si="3">SUM(AA8:AF8)</f>
        <v>107137.06</v>
      </c>
      <c r="AH8" s="152">
        <v>108442.12</v>
      </c>
      <c r="AI8" s="152" t="s">
        <v>120</v>
      </c>
      <c r="AJ8" s="152"/>
      <c r="AK8" s="136"/>
      <c r="AL8" s="136"/>
      <c r="AM8" s="136"/>
      <c r="AN8" s="136"/>
      <c r="AO8" s="137"/>
      <c r="AP8" s="38"/>
      <c r="AQ8" s="126">
        <f>'Jours travaillés'!N4</f>
        <v>0</v>
      </c>
      <c r="AR8" s="132">
        <f t="shared" ref="AR8:AR14" si="4">AQ8*$AR$5</f>
        <v>0</v>
      </c>
      <c r="AS8" s="32"/>
      <c r="AT8" s="32"/>
      <c r="AU8" s="32"/>
      <c r="AV8" s="32"/>
      <c r="AW8" s="32"/>
      <c r="AX8" s="32"/>
      <c r="AY8" s="32"/>
      <c r="AZ8" s="32"/>
    </row>
    <row r="9" spans="1:52" s="43" customFormat="1" ht="19.399999999999999" customHeight="1" x14ac:dyDescent="0.35">
      <c r="A9" s="43" t="str">
        <f>Juliana!A1</f>
        <v>WAHLGREN-DOS SANTOS Juliana</v>
      </c>
      <c r="B9" s="178" t="s">
        <v>105</v>
      </c>
      <c r="C9" s="154">
        <v>3670.9</v>
      </c>
      <c r="D9" s="154">
        <f t="shared" si="0"/>
        <v>3744.32</v>
      </c>
      <c r="E9" s="74">
        <v>12</v>
      </c>
      <c r="F9" s="43">
        <f>Juliana!B$10</f>
        <v>4701.1400000000003</v>
      </c>
      <c r="G9" s="43">
        <f>Juliana!C$10</f>
        <v>4701.1400000000003</v>
      </c>
      <c r="H9" s="43">
        <f>Juliana!D$10</f>
        <v>4701.1400000000003</v>
      </c>
      <c r="I9" s="177">
        <f>Juliana!E$10</f>
        <v>4733.3900000000003</v>
      </c>
      <c r="J9" s="43">
        <f>Juliana!F$10</f>
        <v>4733.3900000000003</v>
      </c>
      <c r="K9" s="43">
        <f>Juliana!G$10</f>
        <v>3464.03</v>
      </c>
      <c r="L9" s="43">
        <f>Juliana!H$10</f>
        <v>4733.3900000000003</v>
      </c>
      <c r="M9" s="43">
        <f>Juliana!I$10</f>
        <v>4733.3900000000003</v>
      </c>
      <c r="N9" s="43">
        <f>Juliana!J$10</f>
        <v>4733.3900000000003</v>
      </c>
      <c r="O9" s="43">
        <f>Juliana!K$10</f>
        <v>4733.3900000000003</v>
      </c>
      <c r="P9" s="43">
        <f>Juliana!L$10</f>
        <v>4733.3900000000003</v>
      </c>
      <c r="Q9" s="43">
        <f>Juliana!M$10</f>
        <v>4733.3900000000003</v>
      </c>
      <c r="R9" s="43">
        <f>Juliana!N$10</f>
        <v>4733.3900000000003</v>
      </c>
      <c r="S9" s="43">
        <f>Juliana!O$10</f>
        <v>4733.3900000000003</v>
      </c>
      <c r="T9" s="182">
        <f t="shared" si="1"/>
        <v>64901.35</v>
      </c>
      <c r="U9" s="43">
        <f>Juliana!P$12</f>
        <v>0</v>
      </c>
      <c r="V9" s="43">
        <f>Juliana!P$12</f>
        <v>0</v>
      </c>
      <c r="W9" s="43">
        <f>W$5*W$6</f>
        <v>0</v>
      </c>
      <c r="X9" s="43">
        <f>Juliana!P$13</f>
        <v>1545.75</v>
      </c>
      <c r="Y9" s="43">
        <f>Juliana!P17</f>
        <v>8490.6299999999992</v>
      </c>
      <c r="Z9" s="43">
        <v>-8281.56</v>
      </c>
      <c r="AA9" s="44">
        <f t="shared" ref="AA9:AA14" si="5">SUM(T9:Z9)</f>
        <v>66656.17</v>
      </c>
      <c r="AB9" s="43">
        <f>AB$5*E9/E$20</f>
        <v>720</v>
      </c>
      <c r="AC9" s="43">
        <f>Assurances!N21</f>
        <v>469.68</v>
      </c>
      <c r="AD9" s="43">
        <f>AD$5*$T9/$T$20</f>
        <v>163.04</v>
      </c>
      <c r="AE9" s="43">
        <f>Assurances!N4</f>
        <v>131.94999999999999</v>
      </c>
      <c r="AF9" s="43">
        <f t="shared" si="2"/>
        <v>0</v>
      </c>
      <c r="AG9" s="44">
        <f t="shared" si="3"/>
        <v>68140.84</v>
      </c>
      <c r="AH9" s="152">
        <v>69019.27</v>
      </c>
      <c r="AI9" s="152" t="s">
        <v>120</v>
      </c>
      <c r="AJ9" s="152"/>
      <c r="AK9" s="136"/>
      <c r="AL9" s="136"/>
      <c r="AM9" s="136"/>
      <c r="AN9" s="136"/>
      <c r="AO9" s="137"/>
      <c r="AP9" s="38"/>
      <c r="AQ9" s="126">
        <f>'Jours travaillés'!N5</f>
        <v>0</v>
      </c>
      <c r="AR9" s="132">
        <f t="shared" si="4"/>
        <v>0</v>
      </c>
      <c r="AS9" s="32"/>
      <c r="AT9" s="32"/>
      <c r="AU9" s="32"/>
      <c r="AV9" s="32"/>
      <c r="AW9" s="32"/>
      <c r="AX9" s="32"/>
      <c r="AY9" s="32"/>
      <c r="AZ9" s="32"/>
    </row>
    <row r="10" spans="1:52" s="43" customFormat="1" ht="19.399999999999999" customHeight="1" x14ac:dyDescent="0.35">
      <c r="A10" s="43" t="str">
        <f>Georgina!A1</f>
        <v>SIKLOSSY Georgina</v>
      </c>
      <c r="B10" s="73" t="s">
        <v>106</v>
      </c>
      <c r="C10" s="154">
        <v>4049</v>
      </c>
      <c r="D10" s="154">
        <f t="shared" si="0"/>
        <v>4129.9799999999996</v>
      </c>
      <c r="E10" s="74">
        <v>12</v>
      </c>
      <c r="F10" s="43">
        <f>Georgina!B$10</f>
        <v>5185.3599999999997</v>
      </c>
      <c r="G10" s="43">
        <f>Georgina!C$10</f>
        <v>5185.3599999999997</v>
      </c>
      <c r="H10" s="43">
        <f>Georgina!D$10</f>
        <v>5185.3599999999997</v>
      </c>
      <c r="I10" s="177">
        <f>Georgina!E$10</f>
        <v>5336.02</v>
      </c>
      <c r="J10" s="43">
        <f>Georgina!F$10</f>
        <v>5336.02</v>
      </c>
      <c r="K10" s="43">
        <f>Georgina!G$10</f>
        <v>3905.05</v>
      </c>
      <c r="L10" s="43">
        <f>Georgina!H$10</f>
        <v>5185.3599999999997</v>
      </c>
      <c r="M10" s="43">
        <f>Georgina!I$10</f>
        <v>5185.3599999999997</v>
      </c>
      <c r="N10" s="43">
        <f>Georgina!J$10</f>
        <v>5185.3599999999997</v>
      </c>
      <c r="O10" s="43">
        <f>Georgina!K$10</f>
        <v>5185.3599999999997</v>
      </c>
      <c r="P10" s="43">
        <f>Georgina!L$10</f>
        <v>5185.3599999999997</v>
      </c>
      <c r="Q10" s="43">
        <f>Georgina!M$10</f>
        <v>5185.3599999999997</v>
      </c>
      <c r="R10" s="43">
        <f>Georgina!N$10</f>
        <v>5185.3599999999997</v>
      </c>
      <c r="S10" s="43">
        <f>Georgina!O$10</f>
        <v>5185.3599999999997</v>
      </c>
      <c r="T10" s="182">
        <f t="shared" si="1"/>
        <v>71616.05</v>
      </c>
      <c r="U10" s="43">
        <f>Georgina!P$12</f>
        <v>581</v>
      </c>
      <c r="V10" s="43">
        <f>Georgina!P$12</f>
        <v>581</v>
      </c>
      <c r="W10" s="43">
        <f>W$5*W$6</f>
        <v>0</v>
      </c>
      <c r="X10" s="43">
        <f>Georgina!P$13</f>
        <v>1545.75</v>
      </c>
      <c r="Y10" s="43">
        <f>Georgina!P17</f>
        <v>9362.4</v>
      </c>
      <c r="Z10" s="43">
        <v>-8367.92</v>
      </c>
      <c r="AA10" s="44">
        <f t="shared" si="5"/>
        <v>75318.28</v>
      </c>
      <c r="AB10" s="43">
        <f>AB$5*E10/E$20</f>
        <v>720</v>
      </c>
      <c r="AC10" s="43">
        <f>Assurances!N22</f>
        <v>748.32</v>
      </c>
      <c r="AD10" s="43">
        <f>AD$5*$T10/$T$20</f>
        <v>179.9</v>
      </c>
      <c r="AE10" s="43">
        <f>Assurances!N5</f>
        <v>144.55000000000001</v>
      </c>
      <c r="AF10" s="43">
        <f t="shared" si="2"/>
        <v>0</v>
      </c>
      <c r="AG10" s="44">
        <f t="shared" si="3"/>
        <v>77111.05</v>
      </c>
      <c r="AH10" s="152">
        <v>70743.149999999994</v>
      </c>
      <c r="AI10" s="152" t="s">
        <v>122</v>
      </c>
      <c r="AJ10" s="152"/>
      <c r="AK10" s="136"/>
      <c r="AL10" s="136"/>
      <c r="AM10" s="136"/>
      <c r="AN10" s="136"/>
      <c r="AO10" s="137"/>
      <c r="AP10" s="38"/>
      <c r="AQ10" s="126">
        <f>'Jours travaillés'!N6</f>
        <v>0</v>
      </c>
      <c r="AR10" s="132">
        <f t="shared" si="4"/>
        <v>0</v>
      </c>
      <c r="AS10" s="32"/>
      <c r="AT10" s="32"/>
      <c r="AU10" s="32"/>
      <c r="AV10" s="32"/>
      <c r="AW10" s="32"/>
      <c r="AX10" s="32"/>
      <c r="AY10" s="32"/>
      <c r="AZ10" s="32"/>
    </row>
    <row r="11" spans="1:52" s="43" customFormat="1" ht="18.75" customHeight="1" x14ac:dyDescent="0.35">
      <c r="A11" s="43" t="str">
        <f>+Julie!A1</f>
        <v>PASCOËT Julie</v>
      </c>
      <c r="B11" s="178" t="s">
        <v>105</v>
      </c>
      <c r="C11" s="154">
        <v>3156.86</v>
      </c>
      <c r="D11" s="154">
        <f t="shared" si="0"/>
        <v>3220</v>
      </c>
      <c r="E11" s="74">
        <v>12</v>
      </c>
      <c r="F11" s="43">
        <f>Julie!B10</f>
        <v>4042.84</v>
      </c>
      <c r="G11" s="43">
        <f>Julie!C10</f>
        <v>4042.84</v>
      </c>
      <c r="H11" s="43">
        <f>Julie!D10</f>
        <v>4042.84</v>
      </c>
      <c r="I11" s="177">
        <f>Julie!E10</f>
        <v>4268.84</v>
      </c>
      <c r="J11" s="43">
        <f>Julie!F10</f>
        <v>4268.84</v>
      </c>
      <c r="K11" s="43">
        <f>Julie!G10</f>
        <v>3124.06</v>
      </c>
      <c r="L11" s="43">
        <f>Julie!H10</f>
        <v>4268.84</v>
      </c>
      <c r="M11" s="43">
        <f>Julie!I10</f>
        <v>4268.84</v>
      </c>
      <c r="N11" s="43">
        <f>Julie!J10</f>
        <v>4268.84</v>
      </c>
      <c r="O11" s="43">
        <f>Julie!K10</f>
        <v>4268.84</v>
      </c>
      <c r="P11" s="43">
        <f>Julie!L10</f>
        <v>4268.84</v>
      </c>
      <c r="Q11" s="43">
        <f>Julie!M10</f>
        <v>4268.84</v>
      </c>
      <c r="R11" s="43">
        <f>Julie!N10</f>
        <v>4268.84</v>
      </c>
      <c r="S11" s="43">
        <f>Julie!O10</f>
        <v>4268.84</v>
      </c>
      <c r="T11" s="182">
        <f t="shared" si="1"/>
        <v>57940.98</v>
      </c>
      <c r="U11" s="43">
        <f>Julie!P12</f>
        <v>2075</v>
      </c>
      <c r="V11" s="43">
        <f>Julie!P12</f>
        <v>2075</v>
      </c>
      <c r="X11" s="43">
        <f>+Julie!P$13</f>
        <v>1545.75</v>
      </c>
      <c r="Y11" s="43">
        <f>Julie!P17</f>
        <v>7568.88</v>
      </c>
      <c r="Z11" s="43">
        <v>-6200.18</v>
      </c>
      <c r="AA11" s="44">
        <f t="shared" si="5"/>
        <v>65005.43</v>
      </c>
      <c r="AB11" s="43">
        <f>AB$5*E11/E$20</f>
        <v>720</v>
      </c>
      <c r="AC11" s="43">
        <f>Assurances!N23</f>
        <v>557.28</v>
      </c>
      <c r="AD11" s="43">
        <f>AD$5*$T11/$T$20</f>
        <v>145.55000000000001</v>
      </c>
      <c r="AE11" s="43">
        <f>Assurances!N6</f>
        <v>119</v>
      </c>
      <c r="AF11" s="43">
        <f t="shared" si="2"/>
        <v>0</v>
      </c>
      <c r="AG11" s="44">
        <f t="shared" si="3"/>
        <v>66547.259999999995</v>
      </c>
      <c r="AH11" s="152">
        <v>58393.48</v>
      </c>
      <c r="AI11" s="152" t="s">
        <v>122</v>
      </c>
      <c r="AJ11" s="152"/>
      <c r="AK11" s="136"/>
      <c r="AL11" s="136"/>
      <c r="AM11" s="136"/>
      <c r="AN11" s="136"/>
      <c r="AO11" s="137"/>
      <c r="AP11" s="38"/>
      <c r="AQ11" s="126">
        <f>'Jours travaillés'!N7</f>
        <v>0</v>
      </c>
      <c r="AR11" s="132">
        <f t="shared" si="4"/>
        <v>0</v>
      </c>
      <c r="AS11" s="32"/>
      <c r="AT11" s="32"/>
      <c r="AU11" s="32"/>
      <c r="AV11" s="32"/>
      <c r="AW11" s="32"/>
      <c r="AX11" s="32"/>
      <c r="AY11" s="32"/>
      <c r="AZ11" s="32"/>
    </row>
    <row r="12" spans="1:52" s="43" customFormat="1" ht="18.75" customHeight="1" x14ac:dyDescent="0.35">
      <c r="A12" s="45" t="str">
        <f>Claire!A1</f>
        <v>FERNANDEZ Claire</v>
      </c>
      <c r="B12" s="178" t="s">
        <v>103</v>
      </c>
      <c r="C12" s="154">
        <v>4317.8100000000004</v>
      </c>
      <c r="D12" s="175">
        <v>4620</v>
      </c>
      <c r="E12" s="74">
        <v>12</v>
      </c>
      <c r="F12" s="177">
        <f>Claire!B10</f>
        <v>5800.6</v>
      </c>
      <c r="G12" s="43">
        <f>Claire!C10</f>
        <v>5800.6</v>
      </c>
      <c r="H12" s="43">
        <f>Claire!D10</f>
        <v>5800.6</v>
      </c>
      <c r="I12" s="43">
        <f>Claire!E10</f>
        <v>5800.6</v>
      </c>
      <c r="J12" s="43">
        <f>Claire!F10</f>
        <v>5800.6</v>
      </c>
      <c r="K12" s="43">
        <f>Claire!G10</f>
        <v>4245.04</v>
      </c>
      <c r="L12" s="43">
        <f>Claire!H10</f>
        <v>5800.6</v>
      </c>
      <c r="M12" s="43">
        <f>Claire!I10</f>
        <v>5800.6</v>
      </c>
      <c r="N12" s="43">
        <f>Claire!J10</f>
        <v>5800.6</v>
      </c>
      <c r="O12" s="43">
        <f>Claire!K10</f>
        <v>5800.6</v>
      </c>
      <c r="P12" s="43">
        <f>Claire!L10</f>
        <v>5800.6</v>
      </c>
      <c r="Q12" s="43">
        <f>Claire!M10</f>
        <v>5800.6</v>
      </c>
      <c r="R12" s="43">
        <f>Claire!N10</f>
        <v>5800.6</v>
      </c>
      <c r="S12" s="43">
        <f>Claire!O10</f>
        <v>5800.6</v>
      </c>
      <c r="T12" s="182">
        <f t="shared" si="1"/>
        <v>79652.84</v>
      </c>
      <c r="U12" s="43">
        <f>+Claire!P12</f>
        <v>0</v>
      </c>
      <c r="X12" s="43">
        <f>+Claire!P$13</f>
        <v>1545.75</v>
      </c>
      <c r="Y12" s="43">
        <f>+Claire!P17</f>
        <v>10422.719999999999</v>
      </c>
      <c r="Z12" s="43">
        <v>-7149.34</v>
      </c>
      <c r="AA12" s="44">
        <f t="shared" si="5"/>
        <v>84471.97</v>
      </c>
      <c r="AB12" s="43">
        <f>AB$5*E12/E$20</f>
        <v>720</v>
      </c>
      <c r="AC12" s="43">
        <f>Assurances!N24</f>
        <v>278.64</v>
      </c>
      <c r="AD12" s="43">
        <f>AD$5*$T12/$T$20</f>
        <v>200.09</v>
      </c>
      <c r="AE12" s="43">
        <f>Assurances!N7</f>
        <v>161.69999999999999</v>
      </c>
      <c r="AF12" s="43">
        <f t="shared" si="2"/>
        <v>0</v>
      </c>
      <c r="AG12" s="44">
        <f t="shared" si="3"/>
        <v>85832.4</v>
      </c>
      <c r="AH12" s="152">
        <v>63346.47</v>
      </c>
      <c r="AI12" s="152" t="s">
        <v>121</v>
      </c>
      <c r="AJ12" s="152"/>
      <c r="AK12" s="136"/>
      <c r="AL12" s="136"/>
      <c r="AM12" s="136"/>
      <c r="AN12" s="136"/>
      <c r="AO12" s="137"/>
      <c r="AP12" s="38"/>
      <c r="AQ12" s="126">
        <f>'Jours travaillés'!N8</f>
        <v>0</v>
      </c>
      <c r="AR12" s="132">
        <f t="shared" si="4"/>
        <v>0</v>
      </c>
      <c r="AS12" s="32"/>
      <c r="AT12" s="32"/>
      <c r="AU12" s="32"/>
      <c r="AV12" s="32"/>
      <c r="AW12" s="32"/>
      <c r="AX12" s="32"/>
      <c r="AY12" s="32"/>
      <c r="AZ12" s="32"/>
    </row>
    <row r="13" spans="1:52" s="43" customFormat="1" ht="19.5" customHeight="1" x14ac:dyDescent="0.35">
      <c r="A13" s="45" t="str">
        <f>AnneSoph!A1</f>
        <v>MARCHANT Anne-Sophie</v>
      </c>
      <c r="B13" s="178" t="s">
        <v>104</v>
      </c>
      <c r="C13" s="154">
        <v>2980</v>
      </c>
      <c r="D13" s="154">
        <f t="shared" si="0"/>
        <v>3039.6</v>
      </c>
      <c r="E13" s="74">
        <v>12</v>
      </c>
      <c r="F13" s="43">
        <f>AnneSoph!B10</f>
        <v>3816.34</v>
      </c>
      <c r="G13" s="43">
        <f>AnneSoph!C10</f>
        <v>3816.34</v>
      </c>
      <c r="H13" s="43">
        <f>AnneSoph!D10</f>
        <v>3816.34</v>
      </c>
      <c r="I13" s="43">
        <f>AnneSoph!E10</f>
        <v>3816.34</v>
      </c>
      <c r="J13" s="43">
        <f>AnneSoph!F10</f>
        <v>3816.34</v>
      </c>
      <c r="K13" s="43">
        <f>AnneSoph!G10</f>
        <v>2792.91</v>
      </c>
      <c r="L13" s="43">
        <f>AnneSoph!H10</f>
        <v>3816.34</v>
      </c>
      <c r="M13" s="43">
        <f>AnneSoph!I10</f>
        <v>3816.34</v>
      </c>
      <c r="N13" s="43">
        <f>AnneSoph!J10</f>
        <v>3816.34</v>
      </c>
      <c r="O13" s="43">
        <f>AnneSoph!K10</f>
        <v>3816.34</v>
      </c>
      <c r="P13" s="43">
        <f>AnneSoph!L10</f>
        <v>3816.34</v>
      </c>
      <c r="Q13" s="43">
        <f>AnneSoph!M10</f>
        <v>3816.34</v>
      </c>
      <c r="R13" s="43">
        <f>AnneSoph!N10</f>
        <v>3816.34</v>
      </c>
      <c r="S13" s="45">
        <f>AnneSoph!O10</f>
        <v>3816.34</v>
      </c>
      <c r="T13" s="182">
        <f t="shared" si="1"/>
        <v>52405.33</v>
      </c>
      <c r="U13" s="43">
        <f>+AnneSoph!P11+AnneSoph!P12</f>
        <v>0</v>
      </c>
      <c r="X13" s="43">
        <f>+AnneSoph!P$13</f>
        <v>1545.75</v>
      </c>
      <c r="Y13" s="43">
        <f>+AnneSoph!P17</f>
        <v>6857.28</v>
      </c>
      <c r="Z13" s="43">
        <v>-5479.44</v>
      </c>
      <c r="AA13" s="44">
        <f t="shared" si="5"/>
        <v>55328.92</v>
      </c>
      <c r="AB13" s="43">
        <f>AB$5*E13/E$20</f>
        <v>720</v>
      </c>
      <c r="AC13" s="43">
        <f>Assurances!N25</f>
        <v>278.64</v>
      </c>
      <c r="AD13" s="43">
        <f>AD$5*$T13/$T$20</f>
        <v>131.63999999999999</v>
      </c>
      <c r="AE13" s="43">
        <f>Assurances!N8</f>
        <v>106.39</v>
      </c>
      <c r="AF13" s="43">
        <f t="shared" si="2"/>
        <v>0</v>
      </c>
      <c r="AG13" s="44">
        <f t="shared" si="3"/>
        <v>56565.59</v>
      </c>
      <c r="AH13" s="152">
        <v>42907.47</v>
      </c>
      <c r="AI13" s="152" t="s">
        <v>123</v>
      </c>
      <c r="AJ13" s="152"/>
      <c r="AK13" s="136"/>
      <c r="AL13" s="136"/>
      <c r="AM13" s="136"/>
      <c r="AN13" s="136"/>
      <c r="AO13" s="137"/>
      <c r="AP13" s="38"/>
      <c r="AQ13" s="126">
        <f>'Jours travaillés'!N9</f>
        <v>0</v>
      </c>
      <c r="AR13" s="132">
        <f t="shared" si="4"/>
        <v>0</v>
      </c>
      <c r="AS13" s="32"/>
      <c r="AT13" s="32"/>
      <c r="AU13" s="32"/>
      <c r="AV13" s="32"/>
      <c r="AW13" s="32"/>
      <c r="AX13" s="32"/>
      <c r="AY13" s="32"/>
      <c r="AZ13" s="32"/>
    </row>
    <row r="14" spans="1:52" s="43" customFormat="1" ht="19.5" customHeight="1" x14ac:dyDescent="0.35">
      <c r="A14" s="45" t="str">
        <f>Vivienne!A1</f>
        <v>NWABUZO Ojeaku Vivienne</v>
      </c>
      <c r="B14" s="178" t="s">
        <v>105</v>
      </c>
      <c r="C14" s="154">
        <v>3013.67</v>
      </c>
      <c r="D14" s="154">
        <f t="shared" si="0"/>
        <v>3073.94</v>
      </c>
      <c r="E14" s="74">
        <v>12</v>
      </c>
      <c r="F14" s="43">
        <f>Vivienne!B10</f>
        <v>3859.46</v>
      </c>
      <c r="G14" s="43">
        <f>Vivienne!C10</f>
        <v>3859.46</v>
      </c>
      <c r="H14" s="43">
        <f>Vivienne!D10</f>
        <v>3859.46</v>
      </c>
      <c r="I14" s="43">
        <f>Vivienne!E10</f>
        <v>3859.46</v>
      </c>
      <c r="J14" s="43">
        <f>Vivienne!F10</f>
        <v>3859.46</v>
      </c>
      <c r="K14" s="43">
        <f>Vivienne!G10</f>
        <v>2824.46</v>
      </c>
      <c r="L14" s="177">
        <f>Vivienne!H10</f>
        <v>4143.28</v>
      </c>
      <c r="M14" s="45">
        <f>Vivienne!I10</f>
        <v>4143.28</v>
      </c>
      <c r="N14" s="43">
        <f>Vivienne!J10</f>
        <v>4143.28</v>
      </c>
      <c r="O14" s="43">
        <f>Vivienne!K10</f>
        <v>4143.28</v>
      </c>
      <c r="P14" s="43">
        <f>Vivienne!L10</f>
        <v>4143.28</v>
      </c>
      <c r="Q14" s="43">
        <f>Vivienne!M10</f>
        <v>4143.28</v>
      </c>
      <c r="R14" s="43">
        <f>Vivienne!N10</f>
        <v>4143.28</v>
      </c>
      <c r="S14" s="45">
        <f>Vivienne!O10</f>
        <v>4143.28</v>
      </c>
      <c r="T14" s="182">
        <f t="shared" si="1"/>
        <v>55268</v>
      </c>
      <c r="U14" s="43">
        <f>Vivienne!P12</f>
        <v>0</v>
      </c>
      <c r="X14" s="43">
        <f>+Vivienne!P$13</f>
        <v>1545.75</v>
      </c>
      <c r="Y14" s="43">
        <f>+Vivienne!P17</f>
        <v>7232.3</v>
      </c>
      <c r="Z14" s="43">
        <v>-6798.84</v>
      </c>
      <c r="AA14" s="44">
        <f t="shared" si="5"/>
        <v>57247.21</v>
      </c>
      <c r="AB14" s="43">
        <f>AB$5*E14/E$20</f>
        <v>720</v>
      </c>
      <c r="AC14" s="43">
        <f>Assurances!N26</f>
        <v>278.64</v>
      </c>
      <c r="AD14" s="43">
        <f>AD$5*$T14/$T$20</f>
        <v>138.84</v>
      </c>
      <c r="AE14" s="43">
        <f>Assurances!N9</f>
        <v>115.5</v>
      </c>
      <c r="AF14" s="43">
        <f t="shared" si="2"/>
        <v>0</v>
      </c>
      <c r="AG14" s="44">
        <f t="shared" si="3"/>
        <v>58500.19</v>
      </c>
      <c r="AH14" s="152">
        <v>56645.05</v>
      </c>
      <c r="AI14" s="152" t="s">
        <v>120</v>
      </c>
      <c r="AJ14" s="152"/>
      <c r="AK14" s="136"/>
      <c r="AL14" s="136"/>
      <c r="AM14" s="136"/>
      <c r="AN14" s="136"/>
      <c r="AO14" s="137"/>
      <c r="AP14" s="38"/>
      <c r="AQ14" s="126">
        <f>'Jours travaillés'!N10</f>
        <v>0</v>
      </c>
      <c r="AR14" s="132">
        <f t="shared" si="4"/>
        <v>0</v>
      </c>
      <c r="AS14" s="32"/>
      <c r="AT14" s="32"/>
      <c r="AU14" s="32"/>
      <c r="AV14" s="32"/>
      <c r="AW14" s="32"/>
      <c r="AX14" s="32"/>
      <c r="AY14" s="32"/>
      <c r="AZ14" s="32"/>
    </row>
    <row r="15" spans="1:52" s="43" customFormat="1" ht="19.5" customHeight="1" x14ac:dyDescent="0.35">
      <c r="A15" s="45" t="str">
        <f>Sarah!A1</f>
        <v xml:space="preserve">CHANDER Sarah </v>
      </c>
      <c r="B15" s="178" t="s">
        <v>105</v>
      </c>
      <c r="C15" s="154">
        <v>3013.67</v>
      </c>
      <c r="D15" s="154">
        <f t="shared" si="0"/>
        <v>3073.94</v>
      </c>
      <c r="E15" s="74">
        <v>12</v>
      </c>
      <c r="F15" s="45">
        <f>Sarah!B10</f>
        <v>3859.46</v>
      </c>
      <c r="G15" s="45">
        <f>Sarah!C10</f>
        <v>3859.46</v>
      </c>
      <c r="H15" s="45">
        <f>Sarah!D10</f>
        <v>3859.46</v>
      </c>
      <c r="I15" s="45">
        <f>Sarah!E10</f>
        <v>3859.46</v>
      </c>
      <c r="J15" s="45">
        <f>Sarah!F10</f>
        <v>3859.46</v>
      </c>
      <c r="K15" s="45">
        <f>Sarah!G10</f>
        <v>2824.46</v>
      </c>
      <c r="L15" s="45">
        <f>Sarah!H10</f>
        <v>3859.46</v>
      </c>
      <c r="M15" s="45">
        <f>Sarah!I10</f>
        <v>3859.46</v>
      </c>
      <c r="N15" s="177">
        <f>Sarah!J10</f>
        <v>4143.28</v>
      </c>
      <c r="O15" s="45">
        <f>Sarah!K10</f>
        <v>4143.28</v>
      </c>
      <c r="P15" s="45">
        <f>Sarah!L10</f>
        <v>4143.28</v>
      </c>
      <c r="Q15" s="45">
        <f>Sarah!M10</f>
        <v>4143.28</v>
      </c>
      <c r="R15" s="45">
        <f>Sarah!N10</f>
        <v>4143.28</v>
      </c>
      <c r="S15" s="45">
        <f>Sarah!O10</f>
        <v>4143.28</v>
      </c>
      <c r="T15" s="182">
        <f>SUM(F15:S15)</f>
        <v>54700.36</v>
      </c>
      <c r="U15" s="43">
        <f>+Sarah!P$11+Sarah!P$12</f>
        <v>0</v>
      </c>
      <c r="X15" s="43">
        <f>+Sarah!P$13</f>
        <v>1545.75</v>
      </c>
      <c r="Y15" s="43">
        <f>+Sarah!P17</f>
        <v>7147.3</v>
      </c>
      <c r="Z15" s="45">
        <v>-6798.84</v>
      </c>
      <c r="AA15" s="44">
        <f>SUM(T15:Z15)</f>
        <v>56594.57</v>
      </c>
      <c r="AB15" s="43">
        <f>AB$5*E15/E$20</f>
        <v>720</v>
      </c>
      <c r="AC15" s="43">
        <f>Assurances!N27</f>
        <v>275.64</v>
      </c>
      <c r="AD15" s="43">
        <f>AD$5*$T15/$T$20</f>
        <v>137.41</v>
      </c>
      <c r="AE15" s="43">
        <f>Assurances!N10</f>
        <v>115.5</v>
      </c>
      <c r="AG15" s="44">
        <f>SUM(AA15:AF15)</f>
        <v>57843.12</v>
      </c>
      <c r="AH15" s="152">
        <v>58569.95</v>
      </c>
      <c r="AI15" s="152" t="s">
        <v>120</v>
      </c>
      <c r="AJ15" s="152"/>
      <c r="AK15" s="136"/>
      <c r="AL15" s="136"/>
      <c r="AM15" s="136"/>
      <c r="AN15" s="136"/>
      <c r="AO15" s="137"/>
      <c r="AP15" s="38"/>
      <c r="AQ15" s="126">
        <f>'Jours travaillés'!N14</f>
        <v>0</v>
      </c>
      <c r="AR15" s="132">
        <f>AQ15*$AR$5</f>
        <v>0</v>
      </c>
      <c r="AS15" s="32"/>
      <c r="AT15" s="32"/>
      <c r="AU15" s="32"/>
      <c r="AV15" s="32"/>
      <c r="AW15" s="32"/>
      <c r="AX15" s="32"/>
      <c r="AY15" s="32"/>
      <c r="AZ15" s="32"/>
    </row>
    <row r="16" spans="1:52" s="43" customFormat="1" ht="19.5" customHeight="1" x14ac:dyDescent="0.35">
      <c r="A16" s="45" t="s">
        <v>108</v>
      </c>
      <c r="B16" s="178" t="s">
        <v>107</v>
      </c>
      <c r="C16" s="154">
        <v>2000</v>
      </c>
      <c r="D16" s="154">
        <f t="shared" ref="D16" si="6">C16*$C$5</f>
        <v>2040</v>
      </c>
      <c r="E16" s="74">
        <v>12</v>
      </c>
      <c r="F16" s="45">
        <f>'Junior Sec'!B10</f>
        <v>2561.3000000000002</v>
      </c>
      <c r="G16" s="45">
        <f>'Junior Sec'!C10</f>
        <v>2561.3000000000002</v>
      </c>
      <c r="H16" s="45">
        <f>'Junior Sec'!D10</f>
        <v>2561.3000000000002</v>
      </c>
      <c r="I16" s="45">
        <f>'Junior Sec'!E10</f>
        <v>2561.3000000000002</v>
      </c>
      <c r="J16" s="45">
        <f>'Junior Sec'!F10</f>
        <v>2561.3000000000002</v>
      </c>
      <c r="K16" s="45">
        <f>'Junior Sec'!G10</f>
        <v>468.61</v>
      </c>
      <c r="L16" s="45">
        <f>'Junior Sec'!H10</f>
        <v>2561.3000000000002</v>
      </c>
      <c r="M16" s="45">
        <f>'Junior Sec'!I10</f>
        <v>2561.3000000000002</v>
      </c>
      <c r="N16" s="45">
        <f>'Junior Sec'!J10</f>
        <v>640.33000000000004</v>
      </c>
      <c r="O16" s="45">
        <f>'Junior Sec'!K10</f>
        <v>640.33000000000004</v>
      </c>
      <c r="P16" s="45">
        <f>'Junior Sec'!L10</f>
        <v>640.33000000000004</v>
      </c>
      <c r="Q16" s="45">
        <f>'Junior Sec'!M10</f>
        <v>640.33000000000004</v>
      </c>
      <c r="R16" s="45">
        <f>'Junior Sec'!N10</f>
        <v>640.33000000000004</v>
      </c>
      <c r="S16" s="45">
        <f>'Junior Sec'!O10</f>
        <v>640.33000000000004</v>
      </c>
      <c r="T16" s="182">
        <f>SUM(F16:S16)</f>
        <v>22239.69</v>
      </c>
      <c r="U16" s="43">
        <f>+Sarah!P$11+Sarah!P$12</f>
        <v>0</v>
      </c>
      <c r="X16" s="43">
        <f>+'Junior Sec'!P13</f>
        <v>1545.75</v>
      </c>
      <c r="Y16" s="43">
        <f>'Junior Sec'!P17</f>
        <v>3164.04</v>
      </c>
      <c r="Z16" s="45">
        <v>-1128</v>
      </c>
      <c r="AA16" s="44">
        <f>SUM(T16:Z16)</f>
        <v>25821.48</v>
      </c>
      <c r="AB16" s="43">
        <f>AB$5*E16/E$20</f>
        <v>720</v>
      </c>
      <c r="AC16" s="43">
        <f>Assurances!N28</f>
        <v>66.66</v>
      </c>
      <c r="AD16" s="43">
        <f>AD$5*$T16/$T$20</f>
        <v>55.87</v>
      </c>
      <c r="AE16" s="43">
        <f>Assurances!N11</f>
        <v>71.400000000000006</v>
      </c>
      <c r="AG16" s="44">
        <f>SUM(AA16:AF16)</f>
        <v>26735.41</v>
      </c>
      <c r="AH16" s="152"/>
      <c r="AI16" s="152" t="s">
        <v>124</v>
      </c>
      <c r="AJ16" s="152"/>
      <c r="AK16" s="136"/>
      <c r="AL16" s="136"/>
      <c r="AM16" s="136"/>
      <c r="AN16" s="136"/>
      <c r="AO16" s="137"/>
      <c r="AP16" s="38"/>
      <c r="AQ16" s="126">
        <f>'Jours travaillés'!N13</f>
        <v>0</v>
      </c>
      <c r="AR16" s="132">
        <f>AQ16*$AR$5</f>
        <v>0</v>
      </c>
      <c r="AS16" s="32"/>
      <c r="AT16" s="32"/>
      <c r="AU16" s="32"/>
      <c r="AV16" s="32"/>
      <c r="AW16" s="32"/>
      <c r="AX16" s="32"/>
      <c r="AY16" s="32"/>
      <c r="AZ16" s="32"/>
    </row>
    <row r="17" spans="1:84" s="166" customFormat="1" ht="19.5" customHeight="1" x14ac:dyDescent="0.35">
      <c r="A17" s="45" t="s">
        <v>115</v>
      </c>
      <c r="B17" s="178" t="s">
        <v>116</v>
      </c>
      <c r="C17" s="154">
        <f>3500/2</f>
        <v>1750</v>
      </c>
      <c r="D17" s="154">
        <f>C17*$C$5</f>
        <v>1785</v>
      </c>
      <c r="E17" s="82">
        <v>12</v>
      </c>
      <c r="F17" s="43">
        <f>Budget!B10</f>
        <v>2241.14</v>
      </c>
      <c r="G17" s="43">
        <f>Budget!C10</f>
        <v>2241.14</v>
      </c>
      <c r="H17" s="43">
        <f>Budget!D10</f>
        <v>2241.14</v>
      </c>
      <c r="I17" s="43">
        <f>Budget!E10</f>
        <v>2241.14</v>
      </c>
      <c r="J17" s="43">
        <f>Budget!F10</f>
        <v>2241.14</v>
      </c>
      <c r="K17" s="43">
        <f>Budget!G10</f>
        <v>410.03</v>
      </c>
      <c r="L17" s="43">
        <f>Budget!H10</f>
        <v>2241.14</v>
      </c>
      <c r="M17" s="43">
        <f>Budget!I10</f>
        <v>2241.14</v>
      </c>
      <c r="N17" s="43">
        <f>Budget!J10</f>
        <v>560.29</v>
      </c>
      <c r="O17" s="43">
        <f>Budget!K10</f>
        <v>560.29</v>
      </c>
      <c r="P17" s="43">
        <f>Budget!L10</f>
        <v>560.29</v>
      </c>
      <c r="Q17" s="43">
        <f>Budget!M10</f>
        <v>560.29</v>
      </c>
      <c r="R17" s="43">
        <f>Budget!N10</f>
        <v>560.29</v>
      </c>
      <c r="S17" s="174">
        <f>Budget!O10</f>
        <v>582.6</v>
      </c>
      <c r="T17" s="182">
        <f>SUM(F17:S17)</f>
        <v>19482.060000000001</v>
      </c>
      <c r="U17" s="43">
        <f>+Budget!P$11+Budget!P$12</f>
        <v>390</v>
      </c>
      <c r="X17" s="43">
        <f>+Budget!P$13</f>
        <v>755.7</v>
      </c>
      <c r="Y17" s="43">
        <f>+Budget!P17</f>
        <v>2768.56</v>
      </c>
      <c r="Z17" s="45">
        <v>-987</v>
      </c>
      <c r="AA17" s="44">
        <f>SUM(T17:Z17)</f>
        <v>22409.32</v>
      </c>
      <c r="AB17" s="43">
        <f>AB$5*E17/E$20</f>
        <v>720</v>
      </c>
      <c r="AC17" s="43">
        <f>Assurances!N29</f>
        <v>66.66</v>
      </c>
      <c r="AD17" s="43">
        <f>AD$5*$T17/$T$20</f>
        <v>48.94</v>
      </c>
      <c r="AE17" s="43">
        <f>Assurances!N12</f>
        <v>62.48</v>
      </c>
      <c r="AF17" s="166">
        <f t="shared" si="2"/>
        <v>0</v>
      </c>
      <c r="AG17" s="44">
        <f>SUM(AA17:AF17)</f>
        <v>23307.4</v>
      </c>
      <c r="AH17" s="167"/>
      <c r="AI17" s="152" t="s">
        <v>124</v>
      </c>
      <c r="AJ17" s="152"/>
      <c r="AK17" s="136"/>
      <c r="AL17" s="168"/>
      <c r="AM17" s="168"/>
      <c r="AN17" s="168"/>
      <c r="AO17" s="169"/>
      <c r="AP17" s="170"/>
      <c r="AQ17" s="171"/>
      <c r="AR17" s="172"/>
      <c r="AS17" s="111"/>
      <c r="AT17" s="32"/>
      <c r="AU17" s="111"/>
      <c r="AV17" s="111"/>
      <c r="AW17" s="111"/>
      <c r="AX17" s="111"/>
      <c r="AY17" s="111"/>
      <c r="AZ17" s="111"/>
    </row>
    <row r="18" spans="1:84" s="166" customFormat="1" ht="19.5" customHeight="1" x14ac:dyDescent="0.35">
      <c r="A18" s="45"/>
      <c r="B18" s="178"/>
      <c r="C18" s="154"/>
      <c r="D18" s="154"/>
      <c r="E18" s="8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74"/>
      <c r="T18" s="182"/>
      <c r="U18" s="43"/>
      <c r="X18" s="43"/>
      <c r="Y18" s="43"/>
      <c r="Z18" s="45"/>
      <c r="AA18" s="44"/>
      <c r="AB18" s="43"/>
      <c r="AC18" s="43"/>
      <c r="AD18" s="43"/>
      <c r="AE18" s="43"/>
      <c r="AG18" s="44"/>
      <c r="AH18" s="167">
        <v>15000</v>
      </c>
      <c r="AI18" s="152" t="s">
        <v>126</v>
      </c>
      <c r="AJ18" s="152"/>
      <c r="AK18" s="136"/>
      <c r="AL18" s="168"/>
      <c r="AM18" s="168"/>
      <c r="AN18" s="168"/>
      <c r="AO18" s="169"/>
      <c r="AP18" s="170"/>
      <c r="AQ18" s="171"/>
      <c r="AR18" s="172"/>
      <c r="AS18" s="111"/>
      <c r="AT18" s="32"/>
      <c r="AU18" s="111"/>
      <c r="AV18" s="111"/>
      <c r="AW18" s="111"/>
      <c r="AX18" s="111"/>
      <c r="AY18" s="111"/>
      <c r="AZ18" s="111"/>
    </row>
    <row r="19" spans="1:84" s="166" customFormat="1" ht="19.5" customHeight="1" x14ac:dyDescent="0.35">
      <c r="A19" s="45"/>
      <c r="B19" s="178"/>
      <c r="C19" s="165"/>
      <c r="D19" s="154"/>
      <c r="E19" s="82"/>
      <c r="F19" s="43">
        <f>x!B10</f>
        <v>0</v>
      </c>
      <c r="G19" s="43">
        <f>x!C10</f>
        <v>0</v>
      </c>
      <c r="H19" s="43">
        <f>x!D10</f>
        <v>0</v>
      </c>
      <c r="I19" s="43">
        <f>x!E10</f>
        <v>0</v>
      </c>
      <c r="J19" s="43">
        <f>x!F10</f>
        <v>0</v>
      </c>
      <c r="K19" s="43">
        <f>x!G10</f>
        <v>0</v>
      </c>
      <c r="L19" s="43">
        <f>x!H10</f>
        <v>0</v>
      </c>
      <c r="M19" s="43">
        <f>x!I10</f>
        <v>0</v>
      </c>
      <c r="N19" s="43">
        <f>x!J10</f>
        <v>0</v>
      </c>
      <c r="O19" s="43">
        <f>x!K10</f>
        <v>0</v>
      </c>
      <c r="P19" s="43">
        <f>x!L10</f>
        <v>0</v>
      </c>
      <c r="Q19" s="43">
        <f>x!M10</f>
        <v>0</v>
      </c>
      <c r="R19" s="43">
        <f>x!N10</f>
        <v>0</v>
      </c>
      <c r="S19" s="43">
        <f>x!O10</f>
        <v>0</v>
      </c>
      <c r="T19" s="182">
        <f>SUM(F19:S19)</f>
        <v>0</v>
      </c>
      <c r="U19" s="43">
        <f>+x!P$11+x!P$12</f>
        <v>0</v>
      </c>
      <c r="AG19" s="44">
        <f>SUM(AA19:AF19)</f>
        <v>0</v>
      </c>
      <c r="AH19" s="167">
        <v>91544.49</v>
      </c>
      <c r="AI19" s="152" t="s">
        <v>125</v>
      </c>
      <c r="AJ19" s="152"/>
      <c r="AK19" s="136"/>
      <c r="AL19" s="168"/>
      <c r="AM19" s="168"/>
      <c r="AN19" s="168"/>
      <c r="AO19" s="169"/>
      <c r="AP19" s="170"/>
      <c r="AQ19" s="171"/>
      <c r="AR19" s="172"/>
      <c r="AS19" s="111"/>
      <c r="AT19" s="32"/>
      <c r="AU19" s="111"/>
      <c r="AV19" s="111"/>
      <c r="AW19" s="111"/>
      <c r="AX19" s="111"/>
      <c r="AY19" s="111"/>
      <c r="AZ19" s="111"/>
    </row>
    <row r="20" spans="1:84" s="44" customFormat="1" ht="19.399999999999999" customHeight="1" x14ac:dyDescent="0.35">
      <c r="A20" s="179" t="s">
        <v>25</v>
      </c>
      <c r="B20" s="119"/>
      <c r="C20" s="47">
        <f>SUM(C8:C19)</f>
        <v>33505.480000000003</v>
      </c>
      <c r="D20" s="46"/>
      <c r="E20" s="69">
        <f t="shared" ref="E20:AJ20" si="7">SUM(E8:E19)</f>
        <v>120</v>
      </c>
      <c r="F20" s="47">
        <f t="shared" si="7"/>
        <v>43179.82</v>
      </c>
      <c r="G20" s="47">
        <f t="shared" si="7"/>
        <v>43179.82</v>
      </c>
      <c r="H20" s="47">
        <f t="shared" si="7"/>
        <v>43179.82</v>
      </c>
      <c r="I20" s="47">
        <f t="shared" si="7"/>
        <v>43714.29</v>
      </c>
      <c r="J20" s="47">
        <f t="shared" si="7"/>
        <v>43714.29</v>
      </c>
      <c r="K20" s="47">
        <f t="shared" si="7"/>
        <v>29355.439999999999</v>
      </c>
      <c r="L20" s="47">
        <f t="shared" si="7"/>
        <v>43847.45</v>
      </c>
      <c r="M20" s="47">
        <f t="shared" si="7"/>
        <v>43847.45</v>
      </c>
      <c r="N20" s="47">
        <f t="shared" si="7"/>
        <v>40529.449999999997</v>
      </c>
      <c r="O20" s="47">
        <f t="shared" si="7"/>
        <v>40529.449999999997</v>
      </c>
      <c r="P20" s="47">
        <f t="shared" si="7"/>
        <v>40529.449999999997</v>
      </c>
      <c r="Q20" s="47">
        <f t="shared" si="7"/>
        <v>40529.449999999997</v>
      </c>
      <c r="R20" s="47">
        <f t="shared" si="7"/>
        <v>40529.449999999997</v>
      </c>
      <c r="S20" s="112">
        <f t="shared" si="7"/>
        <v>40551.760000000002</v>
      </c>
      <c r="T20" s="118">
        <f t="shared" si="7"/>
        <v>577217.39</v>
      </c>
      <c r="U20" s="119">
        <f t="shared" si="7"/>
        <v>5121</v>
      </c>
      <c r="V20" s="119">
        <f t="shared" si="7"/>
        <v>4731</v>
      </c>
      <c r="W20" s="56">
        <f t="shared" si="7"/>
        <v>0</v>
      </c>
      <c r="X20" s="56">
        <f t="shared" si="7"/>
        <v>14667.45</v>
      </c>
      <c r="Y20" s="56">
        <f t="shared" si="7"/>
        <v>75962.710000000006</v>
      </c>
      <c r="Z20" s="56">
        <f t="shared" si="7"/>
        <v>-63719.96</v>
      </c>
      <c r="AA20" s="56">
        <f t="shared" si="7"/>
        <v>613979.59</v>
      </c>
      <c r="AB20" s="56">
        <f t="shared" si="7"/>
        <v>7200</v>
      </c>
      <c r="AC20" s="56">
        <f t="shared" si="7"/>
        <v>3864</v>
      </c>
      <c r="AD20" s="56">
        <f t="shared" si="7"/>
        <v>1450</v>
      </c>
      <c r="AE20" s="56">
        <f t="shared" si="7"/>
        <v>1226.73</v>
      </c>
      <c r="AF20" s="56">
        <f t="shared" si="7"/>
        <v>0</v>
      </c>
      <c r="AG20" s="150">
        <f t="shared" si="7"/>
        <v>627720.31999999995</v>
      </c>
      <c r="AH20" s="153">
        <f t="shared" si="7"/>
        <v>634611.44999999995</v>
      </c>
      <c r="AI20" s="153">
        <f t="shared" si="7"/>
        <v>0</v>
      </c>
      <c r="AJ20" s="153">
        <f t="shared" si="7"/>
        <v>0</v>
      </c>
      <c r="AK20" s="138"/>
      <c r="AL20" s="138"/>
      <c r="AM20" s="138"/>
      <c r="AN20" s="138"/>
      <c r="AO20" s="139"/>
      <c r="AP20" s="38"/>
      <c r="AQ20" s="127">
        <f>SUM(AQ8:AQ19)</f>
        <v>0</v>
      </c>
      <c r="AR20" s="133">
        <f>SUM(AR8:AR19)</f>
        <v>0</v>
      </c>
      <c r="AS20" s="32"/>
      <c r="AT20" s="32"/>
      <c r="AU20" s="32"/>
      <c r="AV20" s="32"/>
      <c r="AW20" s="32"/>
      <c r="AX20" s="32"/>
      <c r="AY20" s="32"/>
      <c r="AZ20" s="32"/>
    </row>
    <row r="21" spans="1:84" s="44" customFormat="1" ht="19.399999999999999" customHeight="1" x14ac:dyDescent="0.35">
      <c r="A21" s="48"/>
      <c r="B21" s="49" t="s">
        <v>55</v>
      </c>
      <c r="C21" s="49"/>
      <c r="D21" s="49"/>
      <c r="E21" s="160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135"/>
      <c r="S21" s="50"/>
      <c r="T21" s="183">
        <f>SUM(F20:S20)</f>
        <v>577217.39</v>
      </c>
      <c r="U21" s="50"/>
      <c r="V21" s="50"/>
      <c r="W21" s="50"/>
      <c r="X21" s="50"/>
      <c r="Y21" s="50"/>
      <c r="Z21" s="50"/>
      <c r="AA21" s="183">
        <f>T21+SUM(U20:Z20)</f>
        <v>613979.59</v>
      </c>
      <c r="AB21" s="50"/>
      <c r="AC21" s="50"/>
      <c r="AD21" s="50"/>
      <c r="AE21" s="50"/>
      <c r="AF21" s="50"/>
      <c r="AG21" s="183">
        <f>SUM(AA20:AF20)</f>
        <v>627720.31999999995</v>
      </c>
      <c r="AH21" s="49"/>
      <c r="AI21" s="49"/>
      <c r="AJ21" s="49"/>
      <c r="AK21" s="49"/>
      <c r="AL21" s="49"/>
      <c r="AM21" s="49"/>
      <c r="AN21" s="49"/>
      <c r="AO21" s="49"/>
      <c r="AP21" s="38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84" s="44" customFormat="1" ht="19.399999999999999" customHeight="1" x14ac:dyDescent="0.35">
      <c r="A22" s="48"/>
      <c r="B22" s="43"/>
      <c r="C22" s="43"/>
      <c r="D22" s="43"/>
      <c r="E22" s="51"/>
      <c r="F22" s="51"/>
      <c r="G22" s="39"/>
      <c r="H22" s="39"/>
      <c r="I22" s="49"/>
      <c r="J22" s="49"/>
      <c r="K22" s="51"/>
      <c r="L22" s="49"/>
      <c r="M22" s="51"/>
      <c r="N22" s="49"/>
      <c r="O22" s="49"/>
      <c r="P22" s="49"/>
      <c r="Q22" s="49"/>
      <c r="R22" s="135"/>
      <c r="S22" s="135"/>
      <c r="T22" s="135"/>
      <c r="U22" s="121"/>
      <c r="V22" s="121"/>
      <c r="W22" s="121"/>
      <c r="X22" s="121"/>
      <c r="Y22" s="121"/>
      <c r="Z22" s="121"/>
      <c r="AA22" s="121"/>
      <c r="AB22" s="121"/>
      <c r="AC22" s="121"/>
      <c r="AD22" s="49"/>
      <c r="AE22" s="72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38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1:84" s="44" customFormat="1" x14ac:dyDescent="0.35">
      <c r="B23" s="128"/>
      <c r="C23" s="128"/>
      <c r="D23" s="128"/>
      <c r="E23" s="51"/>
      <c r="F23" s="51"/>
      <c r="G23" s="39"/>
      <c r="H23" s="39"/>
      <c r="I23" s="39"/>
      <c r="J23" s="39"/>
      <c r="K23" s="51"/>
      <c r="L23" s="49"/>
      <c r="M23" s="51"/>
      <c r="N23" s="49"/>
      <c r="O23" s="49"/>
      <c r="P23" s="49"/>
      <c r="Q23" s="49"/>
      <c r="R23" s="135"/>
      <c r="S23" s="135"/>
      <c r="T23" s="135"/>
      <c r="U23" s="135"/>
      <c r="V23" s="135"/>
      <c r="W23" s="135"/>
      <c r="X23" s="135"/>
      <c r="Y23" s="135"/>
      <c r="Z23" s="135"/>
      <c r="AA23" s="79"/>
      <c r="AB23" s="79"/>
      <c r="AC23" s="135"/>
      <c r="AD23" s="49"/>
      <c r="AE23" s="72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38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84" s="39" customFormat="1" x14ac:dyDescent="0.35">
      <c r="A24" s="51"/>
      <c r="B24" s="51" t="str">
        <f>A15</f>
        <v xml:space="preserve">CHANDER Sarah </v>
      </c>
      <c r="C24" s="51"/>
      <c r="D24" s="51"/>
      <c r="E24" s="51"/>
      <c r="F24" s="51" t="s">
        <v>84</v>
      </c>
      <c r="K24" s="51"/>
      <c r="M24" s="51"/>
      <c r="T24" s="52"/>
      <c r="U24" s="135"/>
      <c r="V24" s="135"/>
      <c r="W24" s="135"/>
      <c r="X24" s="135"/>
      <c r="Y24" s="135"/>
      <c r="Z24" s="135"/>
      <c r="AB24" s="72"/>
      <c r="AP24" s="38"/>
      <c r="AT24" s="32"/>
    </row>
    <row r="25" spans="1:84" s="39" customFormat="1" x14ac:dyDescent="0.35">
      <c r="A25" s="51"/>
      <c r="B25" s="51"/>
      <c r="C25" s="51"/>
      <c r="D25" s="51"/>
      <c r="E25" s="51"/>
      <c r="F25" s="51"/>
      <c r="K25" s="51"/>
      <c r="M25" s="51"/>
      <c r="T25" s="52"/>
      <c r="U25" s="135"/>
      <c r="V25" s="135"/>
      <c r="W25" s="135"/>
      <c r="X25" s="135"/>
      <c r="Y25" s="135"/>
      <c r="Z25" s="135"/>
      <c r="AB25" s="72"/>
      <c r="AP25" s="38"/>
      <c r="AT25" s="32"/>
    </row>
    <row r="26" spans="1:84" s="39" customFormat="1" x14ac:dyDescent="0.35">
      <c r="A26" s="51"/>
      <c r="B26" s="51"/>
      <c r="C26" s="51"/>
      <c r="D26" s="51"/>
      <c r="E26" s="51"/>
      <c r="F26" s="51"/>
      <c r="T26" s="52"/>
      <c r="U26" s="135"/>
      <c r="V26" s="135"/>
      <c r="W26" s="135"/>
      <c r="X26" s="135"/>
      <c r="Y26" s="135"/>
      <c r="Z26" s="135"/>
      <c r="AB26" s="72"/>
      <c r="AP26" s="38"/>
      <c r="AT26" s="32"/>
    </row>
    <row r="27" spans="1:84" s="39" customFormat="1" x14ac:dyDescent="0.35">
      <c r="A27" s="51"/>
      <c r="E27" s="161"/>
      <c r="T27" s="52"/>
      <c r="U27" s="135"/>
      <c r="V27" s="135"/>
      <c r="W27" s="135"/>
      <c r="X27" s="135"/>
      <c r="Y27" s="135"/>
      <c r="Z27" s="135"/>
      <c r="AP27" s="38"/>
      <c r="AT27" s="32"/>
    </row>
    <row r="28" spans="1:84" s="39" customFormat="1" x14ac:dyDescent="0.35">
      <c r="A28" s="75"/>
      <c r="B28" s="75"/>
      <c r="C28" s="75"/>
      <c r="D28" s="75"/>
      <c r="E28" s="75"/>
      <c r="F28" s="120" t="s">
        <v>2</v>
      </c>
      <c r="G28" s="120" t="s">
        <v>3</v>
      </c>
      <c r="H28" s="120" t="s">
        <v>4</v>
      </c>
      <c r="I28" s="120" t="s">
        <v>5</v>
      </c>
      <c r="J28" s="120" t="s">
        <v>6</v>
      </c>
      <c r="K28" s="120" t="s">
        <v>7</v>
      </c>
      <c r="L28" s="120" t="s">
        <v>8</v>
      </c>
      <c r="M28" s="120" t="s">
        <v>9</v>
      </c>
      <c r="N28" s="120" t="s">
        <v>10</v>
      </c>
      <c r="O28" s="120" t="s">
        <v>11</v>
      </c>
      <c r="P28" s="120" t="s">
        <v>12</v>
      </c>
      <c r="Q28" s="120" t="s">
        <v>13</v>
      </c>
      <c r="R28" s="120" t="s">
        <v>14</v>
      </c>
      <c r="S28" s="120" t="s">
        <v>15</v>
      </c>
      <c r="T28" s="148" t="s">
        <v>25</v>
      </c>
      <c r="U28" s="135"/>
      <c r="V28" s="135"/>
      <c r="W28" s="135"/>
      <c r="X28" s="135"/>
      <c r="Y28" s="135"/>
      <c r="Z28" s="135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32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</row>
    <row r="29" spans="1:84" s="53" customFormat="1" x14ac:dyDescent="0.35">
      <c r="A29" s="57" t="s">
        <v>59</v>
      </c>
      <c r="B29" s="57" t="s">
        <v>49</v>
      </c>
      <c r="C29" s="57"/>
      <c r="D29" s="57"/>
      <c r="E29" s="57"/>
      <c r="F29" s="93">
        <f>Michaël!B4+Juliana!B4+Georgina!B4+Julie!B4+Claire!B4+AnneSoph!B4+Vivienne!B4+Sarah!B4+'Junior Sec'!B4+x!B4+Budget!B4</f>
        <v>34391.42</v>
      </c>
      <c r="G29" s="93">
        <f>Michaël!C4+Juliana!C4+Georgina!C4+Julie!C4+Claire!C4+AnneSoph!C4+Vivienne!C4+Sarah!C4+'Junior Sec'!C4+x!C4+Budget!C4</f>
        <v>34391.42</v>
      </c>
      <c r="H29" s="93">
        <f>Michaël!D4+Juliana!D4+Georgina!D4+Julie!D4+Claire!D4+AnneSoph!D4+Vivienne!D4+Sarah!D4+'Junior Sec'!D4+x!D4+Budget!D4</f>
        <v>34391.42</v>
      </c>
      <c r="I29" s="93">
        <f>Michaël!E4+Juliana!E4+Georgina!E4+Julie!E4+Claire!E4+AnneSoph!E4+Vivienne!E4+Sarah!E4+'Junior Sec'!E4+x!E4+Budget!E4</f>
        <v>34817.1</v>
      </c>
      <c r="J29" s="93">
        <f>Michaël!F4+Juliana!F4+Georgina!F4+Julie!F4+Claire!F4+AnneSoph!F4+Vivienne!F4+Sarah!F4+'Junior Sec'!F4+x!F4+Budget!F4</f>
        <v>34817.1</v>
      </c>
      <c r="K29" s="93">
        <f>Michaël!G4+Juliana!G4+Georgina!G4+Julie!G4+Claire!G4+AnneSoph!G4+Vivienne!G4+Sarah!G4+'Junior Sec'!G4+x!G4+Budget!G4</f>
        <v>0</v>
      </c>
      <c r="L29" s="93">
        <f>Michaël!H4+Juliana!H4+Georgina!H4+Julie!H4+Claire!H4+AnneSoph!H4+Vivienne!H4+Sarah!H4+'Junior Sec'!H4+x!H4+Budget!H4</f>
        <v>34923.160000000003</v>
      </c>
      <c r="M29" s="93">
        <f>Michaël!I4+Juliana!I4+Georgina!I4+Julie!I4+Claire!I4+AnneSoph!I4+Vivienne!I4+Sarah!I4+'Junior Sec'!I4+x!I4+Budget!I4</f>
        <v>34923.160000000003</v>
      </c>
      <c r="N29" s="93">
        <f>Michaël!J4+Juliana!J4+Georgina!J4+Julie!J4+Claire!J4+AnneSoph!J4+Vivienne!J4+Sarah!J4+'Junior Sec'!J4+x!J4+Budget!J4</f>
        <v>32280.47</v>
      </c>
      <c r="O29" s="93">
        <f>Michaël!K4+Juliana!K4+Georgina!K4+Julie!K4+Claire!K4+AnneSoph!K4+Vivienne!K4+Sarah!K4+'Junior Sec'!K4+x!K4+Budget!K4</f>
        <v>32280.47</v>
      </c>
      <c r="P29" s="93">
        <f>Michaël!L4+Juliana!L4+Georgina!L4+Julie!L4+Claire!L4+AnneSoph!L4+Vivienne!L4+Sarah!L4+'Junior Sec'!L4+x!L4+Budget!L4</f>
        <v>32280.47</v>
      </c>
      <c r="Q29" s="93">
        <f>Michaël!M4+Juliana!M4+Georgina!M4+Julie!M4+Claire!M4+AnneSoph!M4+Vivienne!M4+Sarah!M4+'Junior Sec'!M4+x!M4+Budget!M4</f>
        <v>32280.47</v>
      </c>
      <c r="R29" s="93">
        <f>Michaël!N4+Juliana!N4+Georgina!N4+Julie!N4+Claire!N4+AnneSoph!N4+Vivienne!N4+Sarah!N4+'Junior Sec'!N4+x!N4+Budget!N4</f>
        <v>32280.47</v>
      </c>
      <c r="S29" s="93">
        <f>Michaël!O4+Juliana!O4+Georgina!O4+Julie!O4+Claire!O4+AnneSoph!O4+Vivienne!O4+Sarah!O4+'Junior Sec'!O4+x!O4+Budget!O4</f>
        <v>32280.47</v>
      </c>
      <c r="T29" s="81">
        <f>SUM(F29:S29)</f>
        <v>436337.6</v>
      </c>
      <c r="U29" s="135"/>
      <c r="V29" s="135"/>
      <c r="W29" s="135"/>
      <c r="X29" s="135"/>
      <c r="Y29" s="135"/>
      <c r="Z29" s="135"/>
      <c r="AA29" s="81"/>
      <c r="AB29" s="95">
        <f>SUM(AB23:AB25)</f>
        <v>0</v>
      </c>
      <c r="AC29" s="94"/>
      <c r="AD29" s="94"/>
      <c r="AE29" s="94"/>
      <c r="AF29" s="71"/>
      <c r="AG29" s="96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32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</row>
    <row r="30" spans="1:84" s="53" customFormat="1" ht="14" x14ac:dyDescent="0.3">
      <c r="A30" s="57"/>
      <c r="B30" s="57"/>
      <c r="C30" s="57"/>
      <c r="D30" s="57"/>
      <c r="E30" s="57"/>
      <c r="F30" s="93">
        <f>Michaël!B5+Juliana!B5+Georgina!B5+Julie!B5+Claire!B5+AnneSoph!B5+Vivienne!B5+Sarah!B5+'Junior Sec'!B5+x!B5+Budget!B5</f>
        <v>0</v>
      </c>
      <c r="G30" s="93">
        <f>Michaël!C5+Juliana!C5+Georgina!C5+Julie!C5+Claire!C5+AnneSoph!C5+Vivienne!C5+Sarah!C5+'Junior Sec'!C5+x!C5+Budget!C5</f>
        <v>0</v>
      </c>
      <c r="H30" s="93">
        <f>Michaël!D5+Juliana!D5+Georgina!D5+Julie!D5+Claire!D5+AnneSoph!D5+Vivienne!D5+Sarah!D5+'Junior Sec'!D5+x!D5+Budget!D5</f>
        <v>0</v>
      </c>
      <c r="I30" s="93">
        <f>Michaël!E5+Juliana!E5+Georgina!E5+Julie!E5+Claire!E5+AnneSoph!E5+Vivienne!E5+Sarah!E5+'Junior Sec'!E5+x!E5+Budget!E5</f>
        <v>0</v>
      </c>
      <c r="J30" s="93">
        <f>Michaël!F5+Juliana!F5+Georgina!F5+Julie!F5+Claire!F5+AnneSoph!F5+Vivienne!F5+Sarah!F5+'Junior Sec'!F5+x!F5+Budget!F5</f>
        <v>0</v>
      </c>
      <c r="K30" s="93">
        <f>Michaël!G5+Juliana!G5+Georgina!G5+Julie!G5+Claire!G5+AnneSoph!G5+Vivienne!G5+Sarah!G5+'Junior Sec'!G5+x!G5+Budget!G5</f>
        <v>29392.47</v>
      </c>
      <c r="L30" s="93">
        <f>Michaël!H5+Juliana!H5+Georgina!H5+Julie!H5+Claire!H5+AnneSoph!H5+Vivienne!H5+Sarah!H5+'Junior Sec'!H5+x!H5+Budget!H5</f>
        <v>0</v>
      </c>
      <c r="M30" s="93">
        <f>Michaël!I5+Juliana!I5+Georgina!I5+Julie!I5+Claire!I5+AnneSoph!I5+Vivienne!I5+Sarah!I5+'Junior Sec'!I5+x!I5+Budget!I5</f>
        <v>0</v>
      </c>
      <c r="N30" s="93">
        <f>Michaël!J5+Juliana!J5+Georgina!J5+Julie!J5+Claire!J5+AnneSoph!J5+Vivienne!J5+Sarah!J5+'Junior Sec'!J5+x!J5+Budget!J5</f>
        <v>0</v>
      </c>
      <c r="O30" s="93">
        <f>Michaël!K5+Juliana!K5+Georgina!K5+Julie!K5+Claire!K5+AnneSoph!K5+Vivienne!K5+Sarah!K5+'Junior Sec'!K5+x!K5+Budget!K5</f>
        <v>0</v>
      </c>
      <c r="P30" s="93">
        <f>Michaël!L5+Juliana!L5+Georgina!L5+Julie!L5+Claire!L5+AnneSoph!L5+Vivienne!L5+Sarah!L5+'Junior Sec'!L5+x!L5+Budget!L5</f>
        <v>0</v>
      </c>
      <c r="Q30" s="93">
        <f>Michaël!M5+Juliana!M5+Georgina!M5+Julie!M5+Claire!M5+AnneSoph!M5+Vivienne!M5+Sarah!M5+'Junior Sec'!M5+x!M5+Budget!M5</f>
        <v>0</v>
      </c>
      <c r="R30" s="93">
        <f>Michaël!N5+Juliana!N5+Georgina!N5+Julie!N5+Claire!N5+AnneSoph!N5+Vivienne!N5+Sarah!N5+'Junior Sec'!N5+x!N5+Budget!N5</f>
        <v>0</v>
      </c>
      <c r="S30" s="93">
        <f>Michaël!O5+Juliana!O5+Georgina!O5+Julie!O5+Claire!O5+AnneSoph!O5+Vivienne!O5+Sarah!O5+'Junior Sec'!O5+x!O5+Budget!O5</f>
        <v>0</v>
      </c>
      <c r="T30" s="81">
        <f t="shared" ref="T30:T43" si="8">SUM(F30:S30)</f>
        <v>29392.47</v>
      </c>
      <c r="U30" s="135"/>
      <c r="V30" s="135"/>
      <c r="W30" s="135"/>
      <c r="X30" s="135"/>
      <c r="Y30" s="135"/>
      <c r="Z30" s="135"/>
      <c r="AA30" s="81"/>
      <c r="AB30" s="94"/>
      <c r="AC30" s="94"/>
      <c r="AD30" s="94"/>
      <c r="AE30" s="94"/>
      <c r="AF30" s="94"/>
      <c r="AG30" s="81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</row>
    <row r="31" spans="1:84" s="53" customFormat="1" ht="14" x14ac:dyDescent="0.3">
      <c r="A31" s="57"/>
      <c r="B31" s="57" t="s">
        <v>50</v>
      </c>
      <c r="C31" s="57"/>
      <c r="D31" s="57"/>
      <c r="E31" s="57"/>
      <c r="F31" s="93">
        <f>Michaël!B6+Juliana!B6+Georgina!B6+Julie!B6+Claire!B6+AnneSoph!B6+Vivienne!B6+Sarah!B6+'Junior Sec'!B6+x!B6+Budget!B6</f>
        <v>8831.73</v>
      </c>
      <c r="G31" s="93">
        <f>Michaël!C6+Juliana!C6+Georgina!C6+Julie!C6+Claire!C6+AnneSoph!C6+Vivienne!C6+Sarah!C6+'Junior Sec'!C6+x!C6+Budget!C6</f>
        <v>8831.73</v>
      </c>
      <c r="H31" s="93">
        <f>Michaël!D6+Juliana!D6+Georgina!D6+Julie!D6+Claire!D6+AnneSoph!D6+Vivienne!D6+Sarah!D6+'Junior Sec'!D6+x!D6+Budget!D6</f>
        <v>8831.73</v>
      </c>
      <c r="I31" s="93">
        <f>Michaël!E6+Juliana!E6+Georgina!E6+Julie!E6+Claire!E6+AnneSoph!E6+Vivienne!E6+Sarah!E6+'Junior Sec'!E6+x!E6+Budget!E6</f>
        <v>8941.0400000000009</v>
      </c>
      <c r="J31" s="93">
        <f>Michaël!F6+Juliana!F6+Georgina!F6+Julie!F6+Claire!F6+AnneSoph!F6+Vivienne!F6+Sarah!F6+'Junior Sec'!F6+x!F6+Budget!F6</f>
        <v>8941.0400000000009</v>
      </c>
      <c r="K31" s="93">
        <f>Michaël!G6+Juliana!G6+Georgina!G6+Julie!G6+Claire!G6+AnneSoph!G6+Vivienne!G6+Sarah!G6+'Junior Sec'!G6+x!G6+Budget!G6</f>
        <v>0</v>
      </c>
      <c r="L31" s="93">
        <f>Michaël!H6+Juliana!H6+Georgina!H6+Julie!H6+Claire!H6+AnneSoph!H6+Vivienne!H6+Sarah!H6+'Junior Sec'!H6+x!H6+Budget!H6</f>
        <v>8968.2800000000007</v>
      </c>
      <c r="M31" s="93">
        <f>Michaël!I6+Juliana!I6+Georgina!I6+Julie!I6+Claire!I6+AnneSoph!I6+Vivienne!I6+Sarah!I6+'Junior Sec'!I6+x!I6+Budget!I6</f>
        <v>8968.2800000000007</v>
      </c>
      <c r="N31" s="93">
        <f>Michaël!J6+Juliana!J6+Georgina!J6+Julie!J6+Claire!J6+AnneSoph!J6+Vivienne!J6+Sarah!J6+'Junior Sec'!J6+x!J6+Budget!J6</f>
        <v>8289.64</v>
      </c>
      <c r="O31" s="93">
        <f>Michaël!K6+Juliana!K6+Georgina!K6+Julie!K6+Claire!K6+AnneSoph!K6+Vivienne!K6+Sarah!K6+'Junior Sec'!K6+x!K6+Budget!K6</f>
        <v>8289.64</v>
      </c>
      <c r="P31" s="93">
        <f>Michaël!L6+Juliana!L6+Georgina!L6+Julie!L6+Claire!L6+AnneSoph!L6+Vivienne!L6+Sarah!L6+'Junior Sec'!L6+x!L6+Budget!L6</f>
        <v>8289.64</v>
      </c>
      <c r="Q31" s="93">
        <f>Michaël!M6+Juliana!M6+Georgina!M6+Julie!M6+Claire!M6+AnneSoph!M6+Vivienne!M6+Sarah!M6+'Junior Sec'!M6+x!M6+Budget!M6</f>
        <v>8289.64</v>
      </c>
      <c r="R31" s="93">
        <f>Michaël!N6+Juliana!N6+Georgina!N6+Julie!N6+Claire!N6+AnneSoph!N6+Vivienne!N6+Sarah!N6+'Junior Sec'!N6+x!N6+Budget!N6</f>
        <v>8289.64</v>
      </c>
      <c r="S31" s="93">
        <f>Michaël!O6+Juliana!O6+Georgina!O6+Julie!O6+Claire!O6+AnneSoph!O6+Vivienne!O6+Sarah!O6+'Junior Sec'!O6+x!O6+Budget!O6</f>
        <v>8311.9500000000007</v>
      </c>
      <c r="T31" s="81">
        <f t="shared" si="8"/>
        <v>112073.98</v>
      </c>
      <c r="U31" s="135"/>
      <c r="V31" s="135"/>
      <c r="W31" s="135"/>
      <c r="X31" s="135"/>
      <c r="Y31" s="135"/>
      <c r="Z31" s="135"/>
      <c r="AA31" s="81"/>
      <c r="AB31" s="94"/>
      <c r="AC31" s="94"/>
      <c r="AD31" s="94"/>
      <c r="AE31" s="94"/>
      <c r="AF31" s="94"/>
      <c r="AG31" s="81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</row>
    <row r="32" spans="1:84" s="53" customFormat="1" ht="14" x14ac:dyDescent="0.3">
      <c r="A32" s="57"/>
      <c r="B32" s="57"/>
      <c r="C32" s="57"/>
      <c r="D32" s="57"/>
      <c r="E32" s="57"/>
      <c r="F32" s="93">
        <f>Michaël!B7+Juliana!B7+Georgina!B7+Julie!B7+Claire!B7+AnneSoph!B7+Vivienne!B7+Sarah!B7+'Junior Sec'!B7+x!B7+Budget!B7</f>
        <v>0</v>
      </c>
      <c r="G32" s="93">
        <f>Michaël!C7+Juliana!C7+Georgina!C7+Julie!C7+Claire!C7+AnneSoph!C7+Vivienne!C7+Sarah!C7+'Junior Sec'!C7+x!C7+Budget!C7</f>
        <v>0</v>
      </c>
      <c r="H32" s="93">
        <f>Michaël!D7+Juliana!D7+Georgina!D7+Julie!D7+Claire!D7+AnneSoph!D7+Vivienne!D7+Sarah!D7+'Junior Sec'!D7+x!D7+Budget!D7</f>
        <v>0</v>
      </c>
      <c r="I32" s="93">
        <f>Michaël!E7+Juliana!E7+Georgina!E7+Julie!E7+Claire!E7+AnneSoph!E7+Vivienne!E7+Sarah!E7+'Junior Sec'!E7+x!E7+Budget!E7</f>
        <v>0</v>
      </c>
      <c r="J32" s="93">
        <f>Michaël!F7+Juliana!F7+Georgina!F7+Julie!F7+Claire!F7+AnneSoph!F7+Vivienne!F7+Sarah!F7+'Junior Sec'!F7+x!F7+Budget!F7</f>
        <v>0</v>
      </c>
      <c r="K32" s="93">
        <f>Michaël!G7+Juliana!G7+Georgina!G7+Julie!G7+Claire!G7+AnneSoph!G7+Vivienne!G7+Sarah!G7+'Junior Sec'!G7+x!G7+Budget!G7</f>
        <v>0</v>
      </c>
      <c r="L32" s="93">
        <f>Michaël!H7+Juliana!H7+Georgina!H7+Julie!H7+Claire!H7+AnneSoph!H7+Vivienne!H7+Sarah!H7+'Junior Sec'!H7+x!H7+Budget!H7</f>
        <v>0</v>
      </c>
      <c r="M32" s="93">
        <f>Michaël!I7+Juliana!I7+Georgina!I7+Julie!I7+Claire!I7+AnneSoph!I7+Vivienne!I7+Sarah!I7+'Junior Sec'!I7+x!I7+Budget!I7</f>
        <v>0</v>
      </c>
      <c r="N32" s="93">
        <f>Michaël!J7+Juliana!J7+Georgina!J7+Julie!J7+Claire!J7+AnneSoph!J7+Vivienne!J7+Sarah!J7+'Junior Sec'!J7+x!J7+Budget!J7</f>
        <v>0</v>
      </c>
      <c r="O32" s="93">
        <f>Michaël!K7+Juliana!K7+Georgina!K7+Julie!K7+Claire!K7+AnneSoph!K7+Vivienne!K7+Sarah!K7+'Junior Sec'!K7+x!K7+Budget!K7</f>
        <v>0</v>
      </c>
      <c r="P32" s="93">
        <f>Michaël!L7+Juliana!L7+Georgina!L7+Julie!L7+Claire!L7+AnneSoph!L7+Vivienne!L7+Sarah!L7+'Junior Sec'!L7+x!L7+Budget!L7</f>
        <v>0</v>
      </c>
      <c r="Q32" s="93">
        <f>Michaël!M7+Juliana!M7+Georgina!M7+Julie!M7+Claire!M7+AnneSoph!M7+Vivienne!M7+Sarah!M7+'Junior Sec'!M7+x!M7+Budget!M7</f>
        <v>0</v>
      </c>
      <c r="R32" s="93">
        <f>Michaël!N7+Juliana!N7+Georgina!N7+Julie!N7+Claire!N7+AnneSoph!N7+Vivienne!N7+Sarah!N7+'Junior Sec'!N7+x!N7+Budget!N7</f>
        <v>0</v>
      </c>
      <c r="S32" s="93">
        <f>Michaël!O7+Juliana!O7+Georgina!O7+Julie!O7+Claire!O7+AnneSoph!O7+Vivienne!O7+Sarah!O7+'Junior Sec'!O7+x!O7+Budget!O7</f>
        <v>0</v>
      </c>
      <c r="T32" s="81">
        <f t="shared" si="8"/>
        <v>0</v>
      </c>
      <c r="U32" s="135"/>
      <c r="V32" s="135"/>
      <c r="W32" s="135"/>
      <c r="X32" s="135"/>
      <c r="Y32" s="135"/>
      <c r="Z32" s="135"/>
      <c r="AA32" s="81"/>
      <c r="AB32" s="94"/>
      <c r="AC32" s="94"/>
      <c r="AD32" s="94"/>
      <c r="AE32" s="94"/>
      <c r="AF32" s="94"/>
      <c r="AG32" s="81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</row>
    <row r="33" spans="1:84" s="53" customFormat="1" ht="15.75" customHeight="1" x14ac:dyDescent="0.3">
      <c r="A33" s="57"/>
      <c r="B33" s="57" t="s">
        <v>56</v>
      </c>
      <c r="C33" s="57"/>
      <c r="D33" s="57"/>
      <c r="E33" s="57"/>
      <c r="F33" s="93">
        <f>Michaël!B8+Juliana!B8+Georgina!B8+Julie!B8+Claire!B8+AnneSoph!B8+Vivienne!B8+Sarah!B8+'Junior Sec'!B8+x!B8+Budget!B8</f>
        <v>-43.33</v>
      </c>
      <c r="G33" s="93">
        <f>Michaël!C8+Juliana!C8+Georgina!C8+Julie!C8+Claire!C8+AnneSoph!C8+Vivienne!C8+Sarah!C8+'Junior Sec'!C8+x!C8+Budget!C8</f>
        <v>-43.33</v>
      </c>
      <c r="H33" s="93">
        <f>Michaël!D8+Juliana!D8+Georgina!D8+Julie!D8+Claire!D8+AnneSoph!D8+Vivienne!D8+Sarah!D8+'Junior Sec'!D8+x!D8+Budget!D8</f>
        <v>-43.33</v>
      </c>
      <c r="I33" s="93">
        <f>Michaël!E8+Juliana!E8+Georgina!E8+Julie!E8+Claire!E8+AnneSoph!E8+Vivienne!E8+Sarah!E8+'Junior Sec'!E8+x!E8+Budget!E8</f>
        <v>-43.85</v>
      </c>
      <c r="J33" s="93">
        <f>Michaël!F8+Juliana!F8+Georgina!F8+Julie!F8+Claire!F8+AnneSoph!F8+Vivienne!F8+Sarah!F8+'Junior Sec'!F8+x!F8+Budget!F8</f>
        <v>-43.85</v>
      </c>
      <c r="K33" s="93">
        <f>Michaël!G8+Juliana!G8+Georgina!G8+Julie!G8+Claire!G8+AnneSoph!G8+Vivienne!G8+Sarah!G8+'Junior Sec'!G8+x!G8+Budget!G8</f>
        <v>-37.03</v>
      </c>
      <c r="L33" s="93">
        <f>Michaël!H8+Juliana!H8+Georgina!H8+Julie!H8+Claire!H8+AnneSoph!H8+Vivienne!H8+Sarah!H8+'Junior Sec'!H8+x!H8+Budget!H8</f>
        <v>-43.99</v>
      </c>
      <c r="M33" s="93">
        <f>Michaël!I8+Juliana!I8+Georgina!I8+Julie!I8+Claire!I8+AnneSoph!I8+Vivienne!I8+Sarah!I8+'Junior Sec'!I8+x!I8+Budget!I8</f>
        <v>-43.99</v>
      </c>
      <c r="N33" s="93">
        <f>Michaël!J8+Juliana!J8+Georgina!J8+Julie!J8+Claire!J8+AnneSoph!J8+Vivienne!J8+Sarah!J8+'Junior Sec'!J8+x!J8+Budget!J8</f>
        <v>-40.659999999999997</v>
      </c>
      <c r="O33" s="93">
        <f>Michaël!K8+Juliana!K8+Georgina!K8+Julie!K8+Claire!K8+AnneSoph!K8+Vivienne!K8+Sarah!K8+'Junior Sec'!K8+x!K8+Budget!K8</f>
        <v>-40.659999999999997</v>
      </c>
      <c r="P33" s="93">
        <f>Michaël!L8+Juliana!L8+Georgina!L8+Julie!L8+Claire!L8+AnneSoph!L8+Vivienne!L8+Sarah!L8+'Junior Sec'!L8+x!L8+Budget!L8</f>
        <v>-40.659999999999997</v>
      </c>
      <c r="Q33" s="93">
        <f>Michaël!M8+Juliana!M8+Georgina!M8+Julie!M8+Claire!M8+AnneSoph!M8+Vivienne!M8+Sarah!M8+'Junior Sec'!M8+x!M8+Budget!M8</f>
        <v>-40.659999999999997</v>
      </c>
      <c r="R33" s="93">
        <f>Michaël!N8+Juliana!N8+Georgina!N8+Julie!N8+Claire!N8+AnneSoph!N8+Vivienne!N8+Sarah!N8+'Junior Sec'!N8+x!N8+Budget!N8</f>
        <v>-40.659999999999997</v>
      </c>
      <c r="S33" s="93">
        <f>Michaël!O8+Juliana!O8+Georgina!O8+Julie!O8+Claire!O8+AnneSoph!O8+Vivienne!O8+Sarah!O8+'Junior Sec'!O8+x!O8+Budget!O8</f>
        <v>-40.659999999999997</v>
      </c>
      <c r="T33" s="81">
        <f>SUM(F33:S33)</f>
        <v>-586.66</v>
      </c>
      <c r="U33" s="135"/>
      <c r="V33" s="135"/>
      <c r="W33" s="135"/>
      <c r="X33" s="135"/>
      <c r="Y33" s="135"/>
      <c r="Z33" s="135"/>
      <c r="AA33" s="81"/>
      <c r="AB33" s="94"/>
      <c r="AC33" s="94"/>
      <c r="AD33" s="94"/>
      <c r="AE33" s="94"/>
      <c r="AF33" s="94"/>
      <c r="AG33" s="81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</row>
    <row r="34" spans="1:84" s="54" customFormat="1" ht="14" x14ac:dyDescent="0.3">
      <c r="A34" s="58"/>
      <c r="B34" s="58"/>
      <c r="C34" s="58"/>
      <c r="D34" s="58"/>
      <c r="E34" s="58"/>
      <c r="F34" s="93">
        <f>Michaël!B9+Juliana!B9+Georgina!B9+Julie!B9+Claire!B9+AnneSoph!B9+Vivienne!B9+Sarah!B9+'Junior Sec'!B9+x!B9+Budget!B9</f>
        <v>0</v>
      </c>
      <c r="G34" s="93">
        <f>Michaël!C9+Juliana!C9+Georgina!C9+Julie!C9+Claire!C9+AnneSoph!C9+Vivienne!C9+Sarah!C9+'Junior Sec'!C9+x!C9+Budget!C9</f>
        <v>0</v>
      </c>
      <c r="H34" s="93">
        <f>Michaël!D9+Juliana!D9+Georgina!D9+Julie!D9+Claire!D9+AnneSoph!D9+Vivienne!D9+Sarah!D9+'Junior Sec'!D9+x!D9+Budget!D9</f>
        <v>0</v>
      </c>
      <c r="I34" s="93">
        <f>Michaël!E9+Juliana!E9+Georgina!E9+Julie!E9+Claire!E9+AnneSoph!E9+Vivienne!E9+Sarah!E9+'Junior Sec'!E9+x!E9+Budget!E9</f>
        <v>0</v>
      </c>
      <c r="J34" s="93">
        <f>Michaël!F9+Juliana!F9+Georgina!F9+Julie!F9+Claire!F9+AnneSoph!F9+Vivienne!F9+Sarah!F9+'Junior Sec'!F9+x!F9+Budget!F9</f>
        <v>0</v>
      </c>
      <c r="K34" s="93">
        <f>Michaël!G9+Juliana!G9+Georgina!G9+Julie!G9+Claire!G9+AnneSoph!G9+Vivienne!G9+Sarah!G9+'Junior Sec'!G9+x!G9+Budget!G9</f>
        <v>0</v>
      </c>
      <c r="L34" s="93">
        <f>Michaël!H9+Juliana!H9+Georgina!H9+Julie!H9+Claire!H9+AnneSoph!H9+Vivienne!H9+Sarah!H9+'Junior Sec'!H9+x!H9+Budget!H9</f>
        <v>0</v>
      </c>
      <c r="M34" s="93">
        <f>Michaël!I9+Juliana!I9+Georgina!I9+Julie!I9+Claire!I9+AnneSoph!I9+Vivienne!I9+Sarah!I9+'Junior Sec'!I9+x!I9+Budget!I9</f>
        <v>0</v>
      </c>
      <c r="N34" s="93">
        <f>Michaël!J9+Juliana!J9+Georgina!J9+Julie!J9+Claire!J9+AnneSoph!J9+Vivienne!J9+Sarah!J9+'Junior Sec'!J9+x!J9+Budget!J9</f>
        <v>0</v>
      </c>
      <c r="O34" s="93">
        <f>Michaël!K9+Juliana!K9+Georgina!K9+Julie!K9+Claire!K9+AnneSoph!K9+Vivienne!K9+Sarah!K9+'Junior Sec'!K9+x!K9+Budget!K9</f>
        <v>0</v>
      </c>
      <c r="P34" s="93">
        <f>Michaël!L9+Juliana!L9+Georgina!L9+Julie!L9+Claire!L9+AnneSoph!L9+Vivienne!L9+Sarah!L9+'Junior Sec'!L9+x!L9+Budget!L9</f>
        <v>0</v>
      </c>
      <c r="Q34" s="93">
        <f>Michaël!M9+Juliana!M9+Georgina!M9+Julie!M9+Claire!M9+AnneSoph!M9+Vivienne!M9+Sarah!M9+'Junior Sec'!M9+x!M9+Budget!M9</f>
        <v>0</v>
      </c>
      <c r="R34" s="93">
        <f>Michaël!N9+Juliana!N9+Georgina!N9+Julie!N9+Claire!N9+AnneSoph!N9+Vivienne!N9+Sarah!N9+'Junior Sec'!N9+x!N9+Budget!N9</f>
        <v>0</v>
      </c>
      <c r="S34" s="93">
        <f>Michaël!O9+Juliana!O9+Georgina!O9+Julie!O9+Claire!O9+AnneSoph!O9+Vivienne!O9+Sarah!O9+'Junior Sec'!O9+x!O9+Budget!O9</f>
        <v>0</v>
      </c>
      <c r="T34" s="81"/>
      <c r="U34" s="135"/>
      <c r="V34" s="135"/>
      <c r="W34" s="135"/>
      <c r="X34" s="135"/>
      <c r="Y34" s="135"/>
      <c r="Z34" s="135"/>
      <c r="AA34" s="97"/>
      <c r="AB34" s="93"/>
      <c r="AC34" s="93"/>
      <c r="AD34" s="93"/>
      <c r="AE34" s="93"/>
      <c r="AF34" s="93"/>
      <c r="AG34" s="97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</row>
    <row r="35" spans="1:84" s="54" customFormat="1" ht="14" x14ac:dyDescent="0.3">
      <c r="A35" s="58"/>
      <c r="B35" s="58"/>
      <c r="C35" s="58"/>
      <c r="D35" s="58"/>
      <c r="E35" s="58"/>
      <c r="F35" s="98">
        <f>SUM(F29:F34)</f>
        <v>43179.82</v>
      </c>
      <c r="G35" s="98" t="e">
        <f>#REF!+Michaël!C10+Juliana!C10+Georgina!C10+Julie!C10+Claire!C10+AnneSoph!C10+Vivienne!C10+#REF!+#REF!</f>
        <v>#REF!</v>
      </c>
      <c r="H35" s="98">
        <f t="shared" ref="H35:T35" si="9">SUM(H29:H34)</f>
        <v>43179.82</v>
      </c>
      <c r="I35" s="98">
        <f t="shared" si="9"/>
        <v>43714.29</v>
      </c>
      <c r="J35" s="98">
        <f t="shared" si="9"/>
        <v>43714.29</v>
      </c>
      <c r="K35" s="98">
        <f t="shared" si="9"/>
        <v>29355.439999999999</v>
      </c>
      <c r="L35" s="98">
        <f t="shared" si="9"/>
        <v>43847.45</v>
      </c>
      <c r="M35" s="98">
        <f t="shared" si="9"/>
        <v>43847.45</v>
      </c>
      <c r="N35" s="98">
        <f t="shared" si="9"/>
        <v>40529.449999999997</v>
      </c>
      <c r="O35" s="98">
        <f t="shared" si="9"/>
        <v>40529.449999999997</v>
      </c>
      <c r="P35" s="98">
        <f t="shared" si="9"/>
        <v>40529.449999999997</v>
      </c>
      <c r="Q35" s="98">
        <f t="shared" si="9"/>
        <v>40529.449999999997</v>
      </c>
      <c r="R35" s="98">
        <f t="shared" si="9"/>
        <v>40529.449999999997</v>
      </c>
      <c r="S35" s="98">
        <f t="shared" si="9"/>
        <v>40551.760000000002</v>
      </c>
      <c r="T35" s="98">
        <f t="shared" si="9"/>
        <v>577217.39</v>
      </c>
      <c r="U35" s="135"/>
      <c r="V35" s="135"/>
      <c r="W35" s="135"/>
      <c r="X35" s="135"/>
      <c r="Y35" s="135"/>
      <c r="Z35" s="135"/>
      <c r="AA35" s="97"/>
      <c r="AB35" s="93"/>
      <c r="AC35" s="93"/>
      <c r="AD35" s="93"/>
      <c r="AE35" s="93"/>
      <c r="AF35" s="93"/>
      <c r="AG35" s="97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</row>
    <row r="36" spans="1:84" s="53" customFormat="1" ht="14" x14ac:dyDescent="0.3">
      <c r="A36" s="57"/>
      <c r="B36" s="57" t="s">
        <v>53</v>
      </c>
      <c r="C36" s="57"/>
      <c r="D36" s="57"/>
      <c r="E36" s="57"/>
      <c r="F36" s="93">
        <f>Michaël!B11+Juliana!B11+Georgina!B11+Julie!B11+Claire!B11+AnneSoph!B11+Vivienne!B11+Sarah!B11+'Junior Sec'!B11+x!B11+Budget!B11</f>
        <v>60</v>
      </c>
      <c r="G36" s="93">
        <f>Michaël!C11+Juliana!C11+Georgina!C11+Julie!C11+Claire!C11+AnneSoph!C11+Vivienne!C11+Sarah!C11+'Junior Sec'!C11+x!C11+Budget!C11</f>
        <v>60</v>
      </c>
      <c r="H36" s="93">
        <f>Michaël!D11+Juliana!D11+Georgina!D11+Julie!D11+Claire!D11+AnneSoph!D11+Vivienne!D11+Sarah!D11+'Junior Sec'!D11+x!D11+Budget!D11</f>
        <v>60</v>
      </c>
      <c r="I36" s="93">
        <f>Michaël!E11+Juliana!E11+Georgina!E11+Julie!E11+Claire!E11+AnneSoph!E11+Vivienne!E11+Sarah!E11+'Junior Sec'!E11+x!E11+Budget!E11</f>
        <v>60</v>
      </c>
      <c r="J36" s="93">
        <f>Michaël!F11+Juliana!F11+Georgina!F11+Julie!F11+Claire!F11+AnneSoph!F11+Vivienne!F11+Sarah!F11+'Junior Sec'!F11+x!F11+Budget!F11</f>
        <v>60</v>
      </c>
      <c r="K36" s="93">
        <f>Michaël!G11+Juliana!G11+Georgina!G11+Julie!G11+Claire!G11+AnneSoph!G11+Vivienne!G11+Sarah!G11+'Junior Sec'!G11+x!G11+Budget!G11</f>
        <v>60</v>
      </c>
      <c r="L36" s="93">
        <f>Michaël!H11+Juliana!H11+Georgina!H11+Julie!H11+Claire!H11+AnneSoph!H11+Vivienne!H11+Sarah!H11+'Junior Sec'!H11+x!H11+Budget!H11</f>
        <v>60</v>
      </c>
      <c r="M36" s="93">
        <f>Michaël!I11+Juliana!I11+Georgina!I11+Julie!I11+Claire!I11+AnneSoph!I11+Vivienne!I11+Sarah!I11+'Junior Sec'!I11+x!I11+Budget!I11</f>
        <v>60</v>
      </c>
      <c r="N36" s="93">
        <f>Michaël!J11+Juliana!J11+Georgina!J11+Julie!J11+Claire!J11+AnneSoph!J11+Vivienne!J11+Sarah!J11+'Junior Sec'!J11+x!J11+Budget!J11</f>
        <v>60</v>
      </c>
      <c r="O36" s="93">
        <f>Michaël!K11+Juliana!K11+Georgina!K11+Julie!K11+Claire!K11+AnneSoph!K11+Vivienne!K11+Sarah!K11+'Junior Sec'!K11+x!K11+Budget!K11</f>
        <v>60</v>
      </c>
      <c r="P36" s="93">
        <f>Michaël!L11+Juliana!L11+Georgina!L11+Julie!L11+Claire!L11+AnneSoph!L11+Vivienne!L11+Sarah!L11+'Junior Sec'!L11+x!L11+Budget!L11</f>
        <v>60</v>
      </c>
      <c r="Q36" s="93">
        <f>Michaël!M11+Juliana!M11+Georgina!M11+Julie!M11+Claire!M11+AnneSoph!M11+Vivienne!M11+Sarah!M11+'Junior Sec'!M11+x!M11+Budget!M11</f>
        <v>60</v>
      </c>
      <c r="R36" s="93">
        <f>Michaël!N11+Juliana!N11+Georgina!N11+Julie!N11+Claire!N11+AnneSoph!N11+Vivienne!N11+Sarah!N11+'Junior Sec'!N11+x!N11+Budget!N11</f>
        <v>60</v>
      </c>
      <c r="S36" s="93">
        <f>Michaël!O11+Juliana!O11+Georgina!O11+Julie!O11+Claire!O11+AnneSoph!O11+Vivienne!O11+Sarah!O11+'Junior Sec'!O11+x!O11+Budget!O11</f>
        <v>0</v>
      </c>
      <c r="T36" s="81">
        <f t="shared" si="8"/>
        <v>780</v>
      </c>
      <c r="U36" s="135"/>
      <c r="V36" s="135"/>
      <c r="W36" s="135"/>
      <c r="X36" s="135"/>
      <c r="Y36" s="135"/>
      <c r="Z36" s="135"/>
      <c r="AA36" s="81"/>
      <c r="AB36" s="94"/>
      <c r="AC36" s="94"/>
      <c r="AD36" s="94"/>
      <c r="AE36" s="94"/>
      <c r="AF36" s="94"/>
      <c r="AG36" s="81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</row>
    <row r="37" spans="1:84" s="53" customFormat="1" ht="14" x14ac:dyDescent="0.3">
      <c r="A37" s="57"/>
      <c r="B37" s="57" t="s">
        <v>76</v>
      </c>
      <c r="C37" s="57"/>
      <c r="D37" s="57"/>
      <c r="E37" s="57"/>
      <c r="F37" s="93">
        <f>Michaël!B12+Juliana!B12+Georgina!B12+Julie!B12+Claire!B12+AnneSoph!B12+Vivienne!B12+Sarah!B12+'Junior Sec'!B12+x!B12+Budget!B12</f>
        <v>0</v>
      </c>
      <c r="G37" s="93">
        <f>Michaël!C12+Juliana!C12+Georgina!C12+Julie!C12+Claire!C12+AnneSoph!C12+Vivienne!C12+Sarah!C12+'Junior Sec'!C12+x!C12+Budget!C12</f>
        <v>2075</v>
      </c>
      <c r="H37" s="93">
        <f>Michaël!D12+Juliana!D12+Georgina!D12+Julie!D12+Claire!D12+AnneSoph!D12+Vivienne!D12+Sarah!D12+'Junior Sec'!D12+x!D12+Budget!D12</f>
        <v>2075</v>
      </c>
      <c r="I37" s="93">
        <f>Michaël!E12+Juliana!E12+Georgina!E12+Julie!E12+Claire!E12+AnneSoph!E12+Vivienne!E12+Sarah!E12+'Junior Sec'!E12+x!E12+Budget!E12</f>
        <v>581</v>
      </c>
      <c r="J37" s="93">
        <f>Michaël!F12+Juliana!F12+Georgina!F12+Julie!F12+Claire!F12+AnneSoph!F12+Vivienne!F12+Sarah!F12+'Junior Sec'!F12+x!F12+Budget!F12</f>
        <v>0</v>
      </c>
      <c r="K37" s="93">
        <f>Michaël!G12+Juliana!G12+Georgina!G12+Julie!G12+Claire!G12+AnneSoph!G12+Vivienne!G12+Sarah!G12+'Junior Sec'!G12+x!G12+Budget!G12</f>
        <v>0</v>
      </c>
      <c r="L37" s="93">
        <f>Michaël!H12+Juliana!H12+Georgina!H12+Julie!H12+Claire!H12+AnneSoph!H12+Vivienne!H12+Sarah!H12+'Junior Sec'!H12+x!H12+Budget!H12</f>
        <v>0</v>
      </c>
      <c r="M37" s="93">
        <f>Michaël!I12+Juliana!I12+Georgina!I12+Julie!I12+Claire!I12+AnneSoph!I12+Vivienne!I12+Sarah!I12+'Junior Sec'!I12+x!I12+Budget!I12</f>
        <v>0</v>
      </c>
      <c r="N37" s="93">
        <f>Michaël!J12+Juliana!J12+Georgina!J12+Julie!J12+Claire!J12+AnneSoph!J12+Vivienne!J12+Sarah!J12+'Junior Sec'!J12+x!J12+Budget!J12</f>
        <v>0</v>
      </c>
      <c r="O37" s="93">
        <f>Michaël!K12+Juliana!K12+Georgina!K12+Julie!K12+Claire!K12+AnneSoph!K12+Vivienne!K12+Sarah!K12+'Junior Sec'!K12+x!K12+Budget!K12</f>
        <v>0</v>
      </c>
      <c r="P37" s="93">
        <f>Michaël!L12+Juliana!L12+Georgina!L12+Julie!L12+Claire!L12+AnneSoph!L12+Vivienne!L12+Sarah!L12+'Junior Sec'!L12+x!L12+Budget!L12</f>
        <v>0</v>
      </c>
      <c r="Q37" s="93">
        <f>Michaël!M12+Juliana!M12+Georgina!M12+Julie!M12+Claire!M12+AnneSoph!M12+Vivienne!M12+Sarah!M12+'Junior Sec'!M12+x!M12+Budget!M12</f>
        <v>0</v>
      </c>
      <c r="R37" s="93">
        <f>Michaël!N12+Juliana!N12+Georgina!N12+Julie!N12+Claire!N12+AnneSoph!N12+Vivienne!N12+Sarah!N12+'Junior Sec'!N12+x!N12+Budget!N12</f>
        <v>0</v>
      </c>
      <c r="S37" s="93">
        <f>Michaël!O12+Juliana!O12+Georgina!O12+Julie!O12+Claire!O12+AnneSoph!O12+Vivienne!O12+Sarah!O12+'Junior Sec'!O12+x!O12+Budget!O12</f>
        <v>0</v>
      </c>
      <c r="T37" s="81">
        <f t="shared" si="8"/>
        <v>4731</v>
      </c>
      <c r="U37" s="135"/>
      <c r="V37" s="135"/>
      <c r="W37" s="135"/>
      <c r="X37" s="135"/>
      <c r="Y37" s="135"/>
      <c r="Z37" s="135"/>
      <c r="AA37" s="81"/>
      <c r="AB37" s="94"/>
      <c r="AC37" s="94"/>
      <c r="AD37" s="94"/>
      <c r="AE37" s="94"/>
      <c r="AF37" s="94"/>
      <c r="AG37" s="81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</row>
    <row r="38" spans="1:84" s="53" customFormat="1" ht="14" x14ac:dyDescent="0.3">
      <c r="A38" s="57"/>
      <c r="B38" s="57" t="s">
        <v>54</v>
      </c>
      <c r="C38" s="57"/>
      <c r="D38" s="57"/>
      <c r="E38" s="57"/>
      <c r="F38" s="93">
        <f>Michaël!B13+Juliana!B13+Georgina!B13+Julie!B13+Claire!B13+AnneSoph!B13+Vivienne!B13+Sarah!B13+'Junior Sec'!B13+x!B13+Budget!B13</f>
        <v>1305.3</v>
      </c>
      <c r="G38" s="93">
        <f>Michaël!C13+Juliana!C13+Georgina!C13+Julie!C13+Claire!C13+AnneSoph!C13+Vivienne!C13+Sarah!C13+'Junior Sec'!C13+x!C13+Budget!C13</f>
        <v>1305.3</v>
      </c>
      <c r="H38" s="93">
        <f>Michaël!D13+Juliana!D13+Georgina!D13+Julie!D13+Claire!D13+AnneSoph!D13+Vivienne!D13+Sarah!D13+'Junior Sec'!D13+x!D13+Budget!D13</f>
        <v>1305.3</v>
      </c>
      <c r="I38" s="93">
        <f>Michaël!E13+Juliana!E13+Georgina!E13+Julie!E13+Claire!E13+AnneSoph!E13+Vivienne!E13+Sarah!E13+'Junior Sec'!E13+x!E13+Budget!E13</f>
        <v>1305.3</v>
      </c>
      <c r="J38" s="93">
        <f>Michaël!F13+Juliana!F13+Georgina!F13+Julie!F13+Claire!F13+AnneSoph!F13+Vivienne!F13+Sarah!F13+'Junior Sec'!F13+x!F13+Budget!F13</f>
        <v>1305.3</v>
      </c>
      <c r="K38" s="93">
        <f>Michaël!G13+Juliana!G13+Georgina!G13+Julie!G13+Claire!G13+AnneSoph!G13+Vivienne!G13+Sarah!G13+'Junior Sec'!G13+x!G13+Budget!G13</f>
        <v>0</v>
      </c>
      <c r="L38" s="93">
        <f>Michaël!H13+Juliana!H13+Georgina!H13+Julie!H13+Claire!H13+AnneSoph!H13+Vivienne!H13+Sarah!H13+'Junior Sec'!H13+x!H13+Budget!H13</f>
        <v>1236.5999999999999</v>
      </c>
      <c r="M38" s="93">
        <f>Michaël!I13+Juliana!I13+Georgina!I13+Julie!I13+Claire!I13+AnneSoph!I13+Vivienne!I13+Sarah!I13+'Junior Sec'!I13+x!I13+Budget!I13</f>
        <v>1305.3</v>
      </c>
      <c r="N38" s="93">
        <f>Michaël!J13+Juliana!J13+Georgina!J13+Julie!J13+Claire!J13+AnneSoph!J13+Vivienne!J13+Sarah!J13+'Junior Sec'!J13+x!J13+Budget!J13</f>
        <v>687</v>
      </c>
      <c r="O38" s="93">
        <f>Michaël!K13+Juliana!K13+Georgina!K13+Julie!K13+Claire!K13+AnneSoph!K13+Vivienne!K13+Sarah!K13+'Junior Sec'!K13+x!K13+Budget!K13</f>
        <v>1305.3</v>
      </c>
      <c r="P38" s="93">
        <f>Michaël!L13+Juliana!L13+Georgina!L13+Julie!L13+Claire!L13+AnneSoph!L13+Vivienne!L13+Sarah!L13+'Junior Sec'!L13+x!L13+Budget!L13</f>
        <v>1305.3</v>
      </c>
      <c r="Q38" s="93">
        <f>Michaël!M13+Juliana!M13+Georgina!M13+Julie!M13+Claire!M13+AnneSoph!M13+Vivienne!M13+Sarah!M13+'Junior Sec'!M13+x!M13+Budget!M13</f>
        <v>1305.3</v>
      </c>
      <c r="R38" s="93">
        <f>Michaël!N13+Juliana!N13+Georgina!N13+Julie!N13+Claire!N13+AnneSoph!N13+Vivienne!N13+Sarah!N13+'Junior Sec'!N13+x!N13+Budget!N13</f>
        <v>996.15</v>
      </c>
      <c r="S38" s="93">
        <f>Michaël!O13+Juliana!O13+Georgina!O13+Julie!O13+Claire!O13+AnneSoph!O13+Vivienne!O13+Sarah!O13+'Junior Sec'!O13+x!O13+Budget!O13</f>
        <v>0</v>
      </c>
      <c r="T38" s="81">
        <f>SUM(F38:S38)</f>
        <v>14667.45</v>
      </c>
      <c r="U38" s="135"/>
      <c r="V38" s="135"/>
      <c r="W38" s="135"/>
      <c r="X38" s="135"/>
      <c r="Y38" s="135"/>
      <c r="Z38" s="135"/>
      <c r="AA38" s="81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</row>
    <row r="39" spans="1:84" x14ac:dyDescent="0.35">
      <c r="A39" s="59"/>
      <c r="B39" s="59"/>
      <c r="C39" s="59"/>
      <c r="D39" s="59"/>
      <c r="E39" s="162"/>
      <c r="F39" s="93">
        <f>Michaël!B14+Juliana!B14+Georgina!B14+Julie!B14+Claire!B14+AnneSoph!B14+Vivienne!B14+Sarah!B14+'Junior Sec'!B14+x!B14+Budget!B14</f>
        <v>0</v>
      </c>
      <c r="G39" s="93">
        <f>Michaël!C14+Juliana!C14+Georgina!C14+Julie!C14+Claire!C14+AnneSoph!C14+Vivienne!C14+Sarah!C14+'Junior Sec'!C14+x!C14+Budget!C14</f>
        <v>0</v>
      </c>
      <c r="H39" s="93">
        <f>Michaël!D14+Juliana!D14+Georgina!D14+Julie!D14+Claire!D14+AnneSoph!D14+Vivienne!D14+Sarah!D14+'Junior Sec'!D14+x!D14+Budget!D14</f>
        <v>0</v>
      </c>
      <c r="I39" s="93">
        <f>Michaël!E14+Juliana!E14+Georgina!E14+Julie!E14+Claire!E14+AnneSoph!E14+Vivienne!E14+Sarah!E14+'Junior Sec'!E14+x!E14+Budget!E14</f>
        <v>0</v>
      </c>
      <c r="J39" s="93">
        <f>Michaël!F14+Juliana!F14+Georgina!F14+Julie!F14+Claire!F14+AnneSoph!F14+Vivienne!F14+Sarah!F14+'Junior Sec'!F14+x!F14+Budget!F14</f>
        <v>0</v>
      </c>
      <c r="K39" s="93">
        <f>Michaël!G14+Juliana!G14+Georgina!G14+Julie!G14+Claire!G14+AnneSoph!G14+Vivienne!G14+Sarah!G14+'Junior Sec'!G14+x!G14+Budget!G14</f>
        <v>0</v>
      </c>
      <c r="L39" s="93" t="e">
        <f>Michaël!H14+Juliana!H14+Georgina!H14+Julie!H14+Claire!H14+AnneSoph!H14+Vivienne!H14+Sarah!H14+'Junior Sec'!H14+x!H14+Budget!H14</f>
        <v>#VALUE!</v>
      </c>
      <c r="M39" s="93">
        <f>Michaël!I14+Juliana!I14+Georgina!I14+Julie!I14+Claire!I14+AnneSoph!I14+Vivienne!I14+Sarah!I14+'Junior Sec'!I14+x!I14+Budget!I14</f>
        <v>0</v>
      </c>
      <c r="N39" s="93">
        <f>Michaël!J14+Juliana!J14+Georgina!J14+Julie!J14+Claire!J14+AnneSoph!J14+Vivienne!J14+Sarah!J14+'Junior Sec'!J14+x!J14+Budget!J14</f>
        <v>0</v>
      </c>
      <c r="O39" s="93">
        <f>Michaël!K14+Juliana!K14+Georgina!K14+Julie!K14+Claire!K14+AnneSoph!K14+Vivienne!K14+Sarah!K14+'Junior Sec'!K14+x!K14+Budget!K14</f>
        <v>0</v>
      </c>
      <c r="P39" s="93">
        <f>Michaël!L14+Juliana!L14+Georgina!L14+Julie!L14+Claire!L14+AnneSoph!L14+Vivienne!L14+Sarah!L14+'Junior Sec'!L14+x!L14+Budget!L14</f>
        <v>0</v>
      </c>
      <c r="Q39" s="93">
        <f>Michaël!M14+Juliana!M14+Georgina!M14+Julie!M14+Claire!M14+AnneSoph!M14+Vivienne!M14+Sarah!M14+'Junior Sec'!M14+x!M14+Budget!M14</f>
        <v>0</v>
      </c>
      <c r="R39" s="93">
        <f>Michaël!N14+Juliana!N14+Georgina!N14+Julie!N14+Claire!N14+AnneSoph!N14+Vivienne!N14+Sarah!N14+'Junior Sec'!N14+x!N14+Budget!N14</f>
        <v>0</v>
      </c>
      <c r="S39" s="93">
        <f>Michaël!O14+Juliana!O14+Georgina!O14+Julie!O14+Claire!O14+AnneSoph!O14+Vivienne!O14+Sarah!O14+'Junior Sec'!O14+x!O14+Budget!O14</f>
        <v>0</v>
      </c>
      <c r="T39" s="81"/>
      <c r="U39" s="135"/>
      <c r="V39" s="135"/>
      <c r="W39" s="135"/>
      <c r="X39" s="135"/>
      <c r="Y39" s="135"/>
      <c r="Z39" s="135"/>
      <c r="AA39" s="100"/>
      <c r="AB39" s="99"/>
      <c r="AC39" s="99"/>
      <c r="AD39" s="99"/>
      <c r="AE39" s="99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</row>
    <row r="40" spans="1:84" s="53" customFormat="1" ht="14" x14ac:dyDescent="0.3">
      <c r="A40" s="57"/>
      <c r="B40" s="57" t="s">
        <v>25</v>
      </c>
      <c r="C40" s="57"/>
      <c r="D40" s="57"/>
      <c r="E40" s="57"/>
      <c r="F40" s="93">
        <f>Michaël!B15+Juliana!B15+Georgina!B15+Julie!B15+Claire!B15+AnneSoph!B15+Vivienne!B15+Sarah!B15+'Junior Sec'!B15+x!B15+Budget!B15</f>
        <v>44545.120000000003</v>
      </c>
      <c r="G40" s="93">
        <f>Michaël!C15+Juliana!C15+Georgina!C15+Julie!C15+Claire!C15+AnneSoph!C15+Vivienne!C15+Sarah!C15+'Junior Sec'!C15+x!C15+Budget!C15</f>
        <v>46620.12</v>
      </c>
      <c r="H40" s="93">
        <f>Michaël!D15+Juliana!D15+Georgina!D15+Julie!D15+Claire!D15+AnneSoph!D15+Vivienne!D15+Sarah!D15+'Junior Sec'!D15+x!D15+Budget!D15</f>
        <v>46620.12</v>
      </c>
      <c r="I40" s="93">
        <f>Michaël!E15+Juliana!E15+Georgina!E15+Julie!E15+Claire!E15+AnneSoph!E15+Vivienne!E15+Sarah!E15+'Junior Sec'!E15+x!E15+Budget!E15</f>
        <v>45660.59</v>
      </c>
      <c r="J40" s="93">
        <f>Michaël!F15+Juliana!F15+Georgina!F15+Julie!F15+Claire!F15+AnneSoph!F15+Vivienne!F15+Sarah!F15+'Junior Sec'!F15+x!F15+Budget!F15</f>
        <v>45079.59</v>
      </c>
      <c r="K40" s="93">
        <f>Michaël!G15+Juliana!G15+Georgina!G15+Julie!G15+Claire!G15+AnneSoph!G15+Vivienne!G15+Sarah!G15+'Junior Sec'!G15+x!G15+Budget!G15</f>
        <v>29415.439999999999</v>
      </c>
      <c r="L40" s="93">
        <f>Michaël!H15+Juliana!H15+Georgina!H15+Julie!H15+Claire!H15+AnneSoph!H15+Vivienne!H15+Sarah!H15+'Junior Sec'!H15+x!H15+Budget!H15</f>
        <v>45144.05</v>
      </c>
      <c r="M40" s="93">
        <f>Michaël!I15+Juliana!I15+Georgina!I15+Julie!I15+Claire!I15+AnneSoph!I15+Vivienne!I15+Sarah!I15+'Junior Sec'!I15+x!I15+Budget!I15</f>
        <v>45212.75</v>
      </c>
      <c r="N40" s="93">
        <f>Michaël!J15+Juliana!J15+Georgina!J15+Julie!J15+Claire!J15+AnneSoph!J15+Vivienne!J15+Sarah!J15+'Junior Sec'!J15+x!J15+Budget!J15</f>
        <v>41276.449999999997</v>
      </c>
      <c r="O40" s="93">
        <f>Michaël!K15+Juliana!K15+Georgina!K15+Julie!K15+Claire!K15+AnneSoph!K15+Vivienne!K15+Sarah!K15+'Junior Sec'!K15+x!K15+Budget!K15</f>
        <v>41894.75</v>
      </c>
      <c r="P40" s="93">
        <f>Michaël!L15+Juliana!L15+Georgina!L15+Julie!L15+Claire!L15+AnneSoph!L15+Vivienne!L15+Sarah!L15+'Junior Sec'!L15+x!L15+Budget!L15</f>
        <v>41894.75</v>
      </c>
      <c r="Q40" s="93">
        <f>Michaël!M15+Juliana!M15+Georgina!M15+Julie!M15+Claire!M15+AnneSoph!M15+Vivienne!M15+Sarah!M15+'Junior Sec'!M15+x!M15+Budget!M15</f>
        <v>41894.75</v>
      </c>
      <c r="R40" s="93">
        <f>Michaël!N15+Juliana!N15+Georgina!N15+Julie!N15+Claire!N15+AnneSoph!N15+Vivienne!N15+Sarah!N15+'Junior Sec'!N15+x!N15+Budget!N15</f>
        <v>41585.599999999999</v>
      </c>
      <c r="S40" s="93">
        <f>Michaël!O15+Juliana!O15+Georgina!O15+Julie!O15+Claire!O15+AnneSoph!O15+Vivienne!O15+Sarah!O15+'Junior Sec'!O15+x!O15+Budget!O15</f>
        <v>40551.760000000002</v>
      </c>
      <c r="T40" s="81">
        <f t="shared" si="8"/>
        <v>597395.84</v>
      </c>
      <c r="U40" s="135"/>
      <c r="V40" s="135"/>
      <c r="W40" s="135"/>
      <c r="X40" s="135"/>
      <c r="Y40" s="135"/>
      <c r="Z40" s="135"/>
      <c r="AA40" s="81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</row>
    <row r="41" spans="1:84" s="39" customFormat="1" ht="17.25" customHeight="1" x14ac:dyDescent="0.3">
      <c r="A41" s="60"/>
      <c r="B41" s="60"/>
      <c r="C41" s="60"/>
      <c r="D41" s="60"/>
      <c r="E41" s="163"/>
      <c r="F41" s="93">
        <f>Michaël!B16+Juliana!B16+Georgina!B16+Julie!B16+Claire!B16+AnneSoph!B16+Vivienne!B16+Sarah!B16+'Junior Sec'!B16+x!B16+Budget!B16</f>
        <v>0</v>
      </c>
      <c r="G41" s="93">
        <f>Michaël!C16+Juliana!C16+Georgina!C16+Julie!C16+Claire!C16+AnneSoph!C16+Vivienne!C16+Sarah!C16+'Junior Sec'!C16+x!C16+Budget!C16</f>
        <v>0</v>
      </c>
      <c r="H41" s="93">
        <f>Michaël!D16+Juliana!D16+Georgina!D16+Julie!D16+Claire!D16+AnneSoph!D16+Vivienne!D16+Sarah!D16+'Junior Sec'!D16+x!D16+Budget!D16</f>
        <v>0</v>
      </c>
      <c r="I41" s="93">
        <f>Michaël!E16+Juliana!E16+Georgina!E16+Julie!E16+Claire!E16+AnneSoph!E16+Vivienne!E16+Sarah!E16+'Junior Sec'!E16+x!E16+Budget!E16</f>
        <v>0</v>
      </c>
      <c r="J41" s="93">
        <f>Michaël!F16+Juliana!F16+Georgina!F16+Julie!F16+Claire!F16+AnneSoph!F16+Vivienne!F16+Sarah!F16+'Junior Sec'!F16+x!F16+Budget!F16</f>
        <v>0</v>
      </c>
      <c r="K41" s="93">
        <f>Michaël!G16+Juliana!G16+Georgina!G16+Julie!G16+Claire!G16+AnneSoph!G16+Vivienne!G16+Sarah!G16+'Junior Sec'!G16+x!G16+Budget!G16</f>
        <v>0</v>
      </c>
      <c r="L41" s="93">
        <f>Michaël!H16+Juliana!H16+Georgina!H16+Julie!H16+Claire!H16+AnneSoph!H16+Vivienne!H16+Sarah!H16+'Junior Sec'!H16+x!H16+Budget!H16</f>
        <v>0</v>
      </c>
      <c r="M41" s="93">
        <f>Michaël!I16+Juliana!I16+Georgina!I16+Julie!I16+Claire!I16+AnneSoph!I16+Vivienne!I16+Sarah!I16+'Junior Sec'!I16+x!I16+Budget!I16</f>
        <v>0</v>
      </c>
      <c r="N41" s="93">
        <f>Michaël!J16+Juliana!J16+Georgina!J16+Julie!J16+Claire!J16+AnneSoph!J16+Vivienne!J16+Sarah!J16+'Junior Sec'!J16+x!J16+Budget!J16</f>
        <v>0</v>
      </c>
      <c r="O41" s="93">
        <f>Michaël!K16+Juliana!K16+Georgina!K16+Julie!K16+Claire!K16+AnneSoph!K16+Vivienne!K16+Sarah!K16+'Junior Sec'!K16+x!K16+Budget!K16</f>
        <v>0</v>
      </c>
      <c r="P41" s="93">
        <f>Michaël!L16+Juliana!L16+Georgina!L16+Julie!L16+Claire!L16+AnneSoph!L16+Vivienne!L16+Sarah!L16+'Junior Sec'!L16+x!L16+Budget!L16</f>
        <v>0</v>
      </c>
      <c r="Q41" s="93">
        <f>Michaël!M16+Juliana!M16+Georgina!M16+Julie!M16+Claire!M16+AnneSoph!M16+Vivienne!M16+Sarah!M16+'Junior Sec'!M16+x!M16+Budget!M16</f>
        <v>0</v>
      </c>
      <c r="R41" s="93">
        <f>Michaël!N16+Juliana!N16+Georgina!N16+Julie!N16+Claire!N16+AnneSoph!N16+Vivienne!N16+Sarah!N16+'Junior Sec'!N16+x!N16+Budget!N16</f>
        <v>0</v>
      </c>
      <c r="S41" s="93"/>
      <c r="T41" s="81"/>
      <c r="U41" s="135"/>
      <c r="V41" s="135"/>
      <c r="W41" s="135"/>
      <c r="X41" s="135"/>
      <c r="Y41" s="135"/>
      <c r="Z41" s="135"/>
      <c r="AA41" s="96"/>
      <c r="AB41" s="71"/>
      <c r="AC41" s="71"/>
      <c r="AD41" s="71"/>
      <c r="AE41" s="71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</row>
    <row r="42" spans="1:84" x14ac:dyDescent="0.35">
      <c r="A42" s="59"/>
      <c r="B42" s="59" t="s">
        <v>57</v>
      </c>
      <c r="C42" s="59"/>
      <c r="D42" s="59"/>
      <c r="E42" s="162"/>
      <c r="F42" s="93">
        <f>Michaël!B17+Juliana!B17+Georgina!B17+Julie!B17+Claire!B17+AnneSoph!B17+Vivienne!B17+Sarah!B17+'Junior Sec'!B17+x!B17+Budget!B17</f>
        <v>6465.58</v>
      </c>
      <c r="G42" s="93">
        <f>Michaël!C17+Juliana!C17+Georgina!C17+Julie!C17+Claire!C17+AnneSoph!C17+Vivienne!C17+Sarah!C17+'Junior Sec'!C17+x!C17+Budget!C17</f>
        <v>6465.58</v>
      </c>
      <c r="H42" s="93">
        <f>Michaël!D17+Juliana!D17+Georgina!D17+Julie!D17+Claire!D17+AnneSoph!D17+Vivienne!D17+Sarah!D17+'Junior Sec'!D17+x!D17+Budget!D17</f>
        <v>6465.58</v>
      </c>
      <c r="I42" s="93">
        <f>Michaël!E17+Juliana!E17+Georgina!E17+Julie!E17+Claire!E17+AnneSoph!E17+Vivienne!E17+Sarah!E17+'Junior Sec'!E17+x!E17+Budget!E17</f>
        <v>6545.61</v>
      </c>
      <c r="J42" s="93">
        <f>Michaël!F17+Juliana!F17+Georgina!F17+Julie!F17+Claire!F17+AnneSoph!F17+Vivienne!F17+Sarah!F17+'Junior Sec'!F17+x!F17+Budget!F17</f>
        <v>6545.61</v>
      </c>
      <c r="K42" s="93">
        <f>Michaël!G17+Juliana!G17+Georgina!G17+Julie!G17+Claire!G17+AnneSoph!G17+Vivienne!G17+Sarah!G17+'Junior Sec'!G17+x!G17+Budget!G17</f>
        <v>0</v>
      </c>
      <c r="L42" s="93">
        <f>Michaël!H17+Juliana!H17+Georgina!H17+Julie!H17+Claire!H17+AnneSoph!H17+Vivienne!H17+Sarah!H17+'Junior Sec'!H17+x!H17+Budget!H17</f>
        <v>6565.55</v>
      </c>
      <c r="M42" s="93">
        <f>Michaël!I17+Juliana!I17+Georgina!I17+Julie!I17+Claire!I17+AnneSoph!I17+Vivienne!I17+Sarah!I17+'Junior Sec'!I17+x!I17+Budget!I17</f>
        <v>6565.55</v>
      </c>
      <c r="N42" s="93">
        <f>Michaël!J17+Juliana!J17+Georgina!J17+Julie!J17+Claire!J17+AnneSoph!J17+Vivienne!J17+Sarah!J17+'Junior Sec'!J17+x!J17+Budget!J17</f>
        <v>6068.73</v>
      </c>
      <c r="O42" s="93">
        <f>Michaël!K17+Juliana!K17+Georgina!K17+Julie!K17+Claire!K17+AnneSoph!K17+Vivienne!K17+Sarah!K17+'Junior Sec'!K17+x!K17+Budget!K17</f>
        <v>6068.73</v>
      </c>
      <c r="P42" s="93">
        <f>Michaël!L17+Juliana!L17+Georgina!L17+Julie!L17+Claire!L17+AnneSoph!L17+Vivienne!L17+Sarah!L17+'Junior Sec'!L17+x!L17+Budget!L17</f>
        <v>6068.73</v>
      </c>
      <c r="Q42" s="93">
        <f>Michaël!M17+Juliana!M17+Georgina!M17+Julie!M17+Claire!M17+AnneSoph!M17+Vivienne!M17+Sarah!M17+'Junior Sec'!M17+x!M17+Budget!M17</f>
        <v>6068.73</v>
      </c>
      <c r="R42" s="93">
        <f>Michaël!N17+Juliana!N17+Georgina!N17+Julie!N17+Claire!N17+AnneSoph!N17+Vivienne!N17+Sarah!N17+'Junior Sec'!N17+x!N17+Budget!N17</f>
        <v>6068.73</v>
      </c>
      <c r="S42" s="93">
        <f>Michaël!O17+Juliana!O17+Georgina!O17+Julie!O17+Claire!O17+AnneSoph!O17+Vivienne!O17+Sarah!O17+'Junior Sec'!O17+x!O17+Budget!O17</f>
        <v>0</v>
      </c>
      <c r="T42" s="81">
        <f>SUM(F42:S42)</f>
        <v>75962.710000000006</v>
      </c>
      <c r="U42" s="135"/>
      <c r="V42" s="135"/>
      <c r="W42" s="135"/>
      <c r="X42" s="135"/>
      <c r="Y42" s="135"/>
      <c r="Z42" s="135"/>
      <c r="AA42" s="100"/>
      <c r="AB42" s="99"/>
      <c r="AC42" s="99"/>
      <c r="AD42" s="99"/>
      <c r="AE42" s="99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</row>
    <row r="43" spans="1:84" x14ac:dyDescent="0.35">
      <c r="A43" s="59"/>
      <c r="B43" s="59" t="s">
        <v>58</v>
      </c>
      <c r="C43" s="59"/>
      <c r="D43" s="59"/>
      <c r="E43" s="162"/>
      <c r="F43" s="93">
        <f>Michaël!B18+Juliana!B18+Georgina!B18+Julie!B18+Claire!B18+AnneSoph!B18+Vivienne!B18+Sarah!B18+'Junior Sec'!B18+x!B18+Budget!B18</f>
        <v>3379.31</v>
      </c>
      <c r="G43" s="93">
        <f>Michaël!C18+Juliana!C18+Georgina!C18+Julie!C18+Claire!C18+AnneSoph!C18+Vivienne!C18+Sarah!C18+'Junior Sec'!C18+x!C18+Budget!C18</f>
        <v>3379.31</v>
      </c>
      <c r="H43" s="93">
        <f>Michaël!D18+Juliana!D18+Georgina!D18+Julie!D18+Claire!D18+AnneSoph!D18+Vivienne!D18+Sarah!D18+'Junior Sec'!D18+x!D18+Budget!D18</f>
        <v>3379.31</v>
      </c>
      <c r="I43" s="93">
        <f>Michaël!E18+Juliana!E18+Georgina!E18+Julie!E18+Claire!E18+AnneSoph!E18+Vivienne!E18+Sarah!E18+'Junior Sec'!E18+x!E18+Budget!E18</f>
        <v>3379.31</v>
      </c>
      <c r="J43" s="93">
        <f>Michaël!F18+Juliana!F18+Georgina!F18+Julie!F18+Claire!F18+AnneSoph!F18+Vivienne!F18+Sarah!F18+'Junior Sec'!F18+x!F18+Budget!F18</f>
        <v>3379.31</v>
      </c>
      <c r="K43" s="93">
        <f>Michaël!G18+Juliana!G18+Georgina!G18+Julie!G18+Claire!G18+AnneSoph!G18+Vivienne!G18+Sarah!G18+'Junior Sec'!G18+x!G18+Budget!G18</f>
        <v>0</v>
      </c>
      <c r="L43" s="93">
        <f>Michaël!H18+Juliana!H18+Georgina!H18+Julie!H18+Claire!H18+AnneSoph!H18+Vivienne!H18+Sarah!H18+'Junior Sec'!H18+x!H18+Budget!H18</f>
        <v>3379.31</v>
      </c>
      <c r="M43" s="93">
        <f>Michaël!I18+Juliana!I18+Georgina!I18+Julie!I18+Claire!I18+AnneSoph!I18+Vivienne!I18+Sarah!I18+'Junior Sec'!I18+x!I18+Budget!I18</f>
        <v>3379.31</v>
      </c>
      <c r="N43" s="93">
        <f>Michaël!J18+Juliana!J18+Georgina!J18+Julie!J18+Claire!J18+AnneSoph!J18+Vivienne!J18+Sarah!J18+'Junior Sec'!J18+x!J18+Budget!J18</f>
        <v>3379.31</v>
      </c>
      <c r="O43" s="93">
        <f>Michaël!K18+Juliana!K18+Georgina!K18+Julie!K18+Claire!K18+AnneSoph!K18+Vivienne!K18+Sarah!K18+'Junior Sec'!K18+x!K18+Budget!K18</f>
        <v>3379.31</v>
      </c>
      <c r="P43" s="93">
        <f>Michaël!L18+Juliana!L18+Georgina!L18+Julie!L18+Claire!L18+AnneSoph!L18+Vivienne!L18+Sarah!L18+'Junior Sec'!L18+x!L18+Budget!L18</f>
        <v>3379.31</v>
      </c>
      <c r="Q43" s="93">
        <f>Michaël!M18+Juliana!M18+Georgina!M18+Julie!M18+Claire!M18+AnneSoph!M18+Vivienne!M18+Sarah!M18+'Junior Sec'!M18+x!M18+Budget!M18</f>
        <v>3379.31</v>
      </c>
      <c r="R43" s="93">
        <f>Michaël!N18+Juliana!N18+Georgina!N18+Julie!N18+Claire!N18+AnneSoph!N18+Vivienne!N18+Sarah!N18+'Junior Sec'!N18+x!N18+Budget!N18</f>
        <v>3379.31</v>
      </c>
      <c r="S43" s="93">
        <f>Michaël!O18+Juliana!O18+Georgina!O18+Julie!O18+Claire!O18+AnneSoph!O18+Vivienne!O18+Sarah!O18+'Junior Sec'!O18+x!O18+Budget!O18</f>
        <v>0</v>
      </c>
      <c r="T43" s="81">
        <f t="shared" si="8"/>
        <v>40551.72</v>
      </c>
      <c r="U43" s="135"/>
      <c r="V43" s="135"/>
      <c r="W43" s="135"/>
      <c r="X43" s="135"/>
      <c r="Y43" s="135"/>
      <c r="Z43" s="135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  <row r="44" spans="1:84" x14ac:dyDescent="0.35"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55"/>
      <c r="U44" s="135"/>
      <c r="V44" s="135"/>
      <c r="W44" s="135"/>
      <c r="X44" s="135"/>
      <c r="Y44" s="135"/>
      <c r="Z44" s="135"/>
      <c r="AF44" s="53"/>
      <c r="AG44" s="53"/>
      <c r="AH44" s="53"/>
      <c r="AI44" s="53"/>
      <c r="AJ44" s="53"/>
      <c r="AK44" s="53"/>
      <c r="AL44" s="53"/>
      <c r="AM44" s="53"/>
      <c r="AN44" s="53"/>
      <c r="AO44" s="53"/>
    </row>
    <row r="45" spans="1:84" x14ac:dyDescent="0.35">
      <c r="U45" s="135"/>
      <c r="V45" s="135"/>
      <c r="W45" s="135"/>
      <c r="X45" s="135"/>
      <c r="Y45" s="135"/>
      <c r="Z45" s="135"/>
      <c r="AF45" s="53"/>
      <c r="AG45" s="53"/>
      <c r="AH45" s="53"/>
      <c r="AI45" s="53"/>
      <c r="AJ45" s="53"/>
      <c r="AK45" s="53"/>
      <c r="AL45" s="53"/>
      <c r="AM45" s="53"/>
      <c r="AN45" s="53"/>
      <c r="AO45" s="53"/>
    </row>
    <row r="46" spans="1:84" x14ac:dyDescent="0.35">
      <c r="E46" s="157" t="s">
        <v>54</v>
      </c>
      <c r="U46" s="135"/>
      <c r="V46" s="135"/>
      <c r="W46" s="135"/>
      <c r="X46" s="135"/>
      <c r="Y46" s="135"/>
      <c r="Z46" s="135"/>
      <c r="AF46" s="53"/>
      <c r="AG46" s="53"/>
      <c r="AH46" s="53"/>
      <c r="AI46" s="53"/>
      <c r="AJ46" s="53"/>
      <c r="AK46" s="53"/>
      <c r="AL46" s="53"/>
      <c r="AM46" s="53"/>
      <c r="AN46" s="53"/>
      <c r="AO46" s="53"/>
    </row>
    <row r="47" spans="1:84" x14ac:dyDescent="0.35">
      <c r="H47" s="111"/>
      <c r="J47" s="111"/>
      <c r="L47" s="111"/>
      <c r="U47" s="39"/>
      <c r="V47" s="53"/>
      <c r="X47" s="39"/>
      <c r="Y47" s="39"/>
      <c r="AF47" s="53"/>
      <c r="AG47" s="53"/>
      <c r="AH47" s="53"/>
      <c r="AI47" s="53"/>
      <c r="AJ47" s="53"/>
      <c r="AK47" s="53"/>
      <c r="AL47" s="53"/>
      <c r="AM47" s="53"/>
      <c r="AN47" s="53"/>
      <c r="AO47" s="53"/>
    </row>
    <row r="48" spans="1:84" x14ac:dyDescent="0.35"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U48" s="39"/>
      <c r="V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</row>
    <row r="49" spans="6:41" x14ac:dyDescent="0.35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AF49" s="53"/>
      <c r="AG49" s="53"/>
      <c r="AH49" s="53"/>
      <c r="AI49" s="53"/>
      <c r="AJ49" s="53"/>
      <c r="AK49" s="53"/>
      <c r="AL49" s="53"/>
      <c r="AM49" s="53"/>
      <c r="AN49" s="53"/>
      <c r="AO49" s="53"/>
    </row>
    <row r="50" spans="6:41" x14ac:dyDescent="0.35">
      <c r="F50" s="157"/>
      <c r="G50" s="157"/>
      <c r="AF50" s="53"/>
      <c r="AG50" s="53"/>
      <c r="AH50" s="53"/>
      <c r="AI50" s="53"/>
      <c r="AJ50" s="53"/>
      <c r="AK50" s="53"/>
      <c r="AL50" s="53"/>
      <c r="AM50" s="53"/>
      <c r="AN50" s="53"/>
      <c r="AO50" s="53"/>
    </row>
    <row r="51" spans="6:41" x14ac:dyDescent="0.35">
      <c r="AF51" s="53"/>
      <c r="AG51" s="53"/>
      <c r="AH51" s="53"/>
      <c r="AI51" s="53"/>
      <c r="AJ51" s="53"/>
      <c r="AK51" s="53"/>
      <c r="AL51" s="53"/>
      <c r="AM51" s="53"/>
      <c r="AN51" s="53"/>
      <c r="AO51" s="53"/>
    </row>
    <row r="52" spans="6:41" x14ac:dyDescent="0.35">
      <c r="AF52" s="53"/>
      <c r="AG52" s="53"/>
      <c r="AH52" s="53"/>
      <c r="AI52" s="53"/>
      <c r="AJ52" s="53"/>
      <c r="AK52" s="53"/>
      <c r="AL52" s="53"/>
      <c r="AM52" s="53"/>
      <c r="AN52" s="53"/>
      <c r="AO52" s="53"/>
    </row>
    <row r="53" spans="6:41" x14ac:dyDescent="0.35">
      <c r="AF53" s="53"/>
      <c r="AG53" s="53"/>
      <c r="AH53" s="53"/>
      <c r="AI53" s="53"/>
      <c r="AJ53" s="53"/>
      <c r="AK53" s="53"/>
      <c r="AL53" s="53"/>
      <c r="AM53" s="53"/>
      <c r="AN53" s="53"/>
      <c r="AO53" s="53"/>
    </row>
  </sheetData>
  <mergeCells count="2">
    <mergeCell ref="AQ3:AR3"/>
    <mergeCell ref="AK4:AO4"/>
  </mergeCells>
  <phoneticPr fontId="6" type="noConversion"/>
  <printOptions horizontalCentered="1" verticalCentered="1"/>
  <pageMargins left="0.19685039370078741" right="0.19685039370078741" top="0.78740157480314965" bottom="1.2204724409448819" header="0.51181102362204722" footer="0.78740157480314965"/>
  <pageSetup paperSize="8" scale="62" fitToWidth="2" orientation="landscape" useFirstPageNumber="1" r:id="rId1"/>
  <headerFooter alignWithMargins="0">
    <oddFooter xml:space="preserve">&amp;C&amp;"Times New Roman,Normal"&amp;12Page &amp;P&amp;R&amp;"Times New Roman,Normal"&amp;12&amp;F
</oddFooter>
  </headerFooter>
  <colBreaks count="3" manualBreakCount="3">
    <brk id="12" max="1048575" man="1"/>
    <brk id="20" max="1048575" man="1"/>
    <brk id="27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workbookViewId="0">
      <selection activeCell="J5" sqref="J5"/>
    </sheetView>
  </sheetViews>
  <sheetFormatPr defaultColWidth="11.7265625" defaultRowHeight="13" x14ac:dyDescent="0.3"/>
  <cols>
    <col min="1" max="1" width="15.81640625" style="1" customWidth="1"/>
    <col min="2" max="6" width="8.54296875" style="1" customWidth="1"/>
    <col min="7" max="7" width="11.7265625" style="1" customWidth="1"/>
    <col min="8" max="15" width="8.54296875" style="1" customWidth="1"/>
    <col min="16" max="16" width="10" style="2" customWidth="1"/>
    <col min="17" max="17" width="8.54296875" style="1" customWidth="1"/>
    <col min="18" max="255" width="11.7265625" style="1" customWidth="1"/>
  </cols>
  <sheetData>
    <row r="1" spans="1:28" s="1" customFormat="1" ht="15.5" x14ac:dyDescent="0.35">
      <c r="A1" s="3" t="s">
        <v>107</v>
      </c>
      <c r="G1" s="1" t="s">
        <v>109</v>
      </c>
      <c r="P1" s="2"/>
    </row>
    <row r="2" spans="1:28" s="1" customFormat="1" x14ac:dyDescent="0.3">
      <c r="P2" s="2"/>
    </row>
    <row r="3" spans="1:28" s="1" customFormat="1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92" t="s">
        <v>14</v>
      </c>
      <c r="O3" s="22" t="s">
        <v>52</v>
      </c>
      <c r="P3" s="4" t="s">
        <v>25</v>
      </c>
    </row>
    <row r="4" spans="1:28" s="1" customFormat="1" ht="19.899999999999999" customHeight="1" x14ac:dyDescent="0.25">
      <c r="A4" s="1" t="s">
        <v>26</v>
      </c>
      <c r="B4" s="5">
        <f>'2018'!D16</f>
        <v>2040</v>
      </c>
      <c r="C4" s="5">
        <f>B4</f>
        <v>2040</v>
      </c>
      <c r="D4" s="5">
        <f t="shared" ref="D4:I4" si="0">C4</f>
        <v>2040</v>
      </c>
      <c r="E4" s="5">
        <f t="shared" si="0"/>
        <v>2040</v>
      </c>
      <c r="F4" s="5">
        <f t="shared" si="0"/>
        <v>2040</v>
      </c>
      <c r="G4" s="5"/>
      <c r="H4" s="5">
        <f>F4</f>
        <v>2040</v>
      </c>
      <c r="I4" s="5">
        <f t="shared" si="0"/>
        <v>2040</v>
      </c>
      <c r="J4" s="5">
        <f>I4*3/12</f>
        <v>510</v>
      </c>
      <c r="K4" s="5">
        <f t="shared" ref="K4" si="1">J4</f>
        <v>510</v>
      </c>
      <c r="L4" s="5">
        <f t="shared" ref="L4" si="2">K4</f>
        <v>510</v>
      </c>
      <c r="M4" s="5">
        <f t="shared" ref="M4" si="3">L4</f>
        <v>510</v>
      </c>
      <c r="N4" s="5">
        <f t="shared" ref="N4" si="4">M4</f>
        <v>510</v>
      </c>
      <c r="O4" s="5">
        <f t="shared" ref="O4" si="5">N4</f>
        <v>510</v>
      </c>
      <c r="P4" s="6">
        <f t="shared" ref="P4:P8" si="6">SUM(B4:O4)</f>
        <v>17340</v>
      </c>
      <c r="Q4" s="5"/>
      <c r="W4" s="15"/>
      <c r="X4" s="15"/>
      <c r="Y4" s="15"/>
      <c r="Z4" s="15"/>
      <c r="AA4" s="15">
        <v>-36.99</v>
      </c>
      <c r="AB4" s="1" t="s">
        <v>62</v>
      </c>
    </row>
    <row r="5" spans="1:28" s="1" customFormat="1" ht="19.899999999999999" customHeight="1" x14ac:dyDescent="0.25">
      <c r="A5" s="1" t="s">
        <v>27</v>
      </c>
      <c r="B5" s="5"/>
      <c r="C5" s="5"/>
      <c r="D5" s="5"/>
      <c r="E5" s="5"/>
      <c r="F5" s="5"/>
      <c r="G5" s="5">
        <f>F4*0.92*3/12</f>
        <v>469.2</v>
      </c>
      <c r="H5" s="5"/>
      <c r="I5" s="5"/>
      <c r="J5" s="5"/>
      <c r="K5" s="5"/>
      <c r="L5" s="5"/>
      <c r="M5" s="5"/>
      <c r="N5" s="5"/>
      <c r="O5" s="5"/>
      <c r="P5" s="6">
        <f t="shared" si="6"/>
        <v>469.2</v>
      </c>
      <c r="Q5" s="5"/>
      <c r="W5" s="15"/>
      <c r="X5" s="15"/>
      <c r="Y5" s="15"/>
      <c r="Z5" s="15"/>
      <c r="AA5" s="15">
        <v>-39.130000000000003</v>
      </c>
      <c r="AB5" s="1">
        <f>+Y5+AA5</f>
        <v>-39.130000000000003</v>
      </c>
    </row>
    <row r="6" spans="1:28" s="1" customFormat="1" ht="19.899999999999999" customHeight="1" x14ac:dyDescent="0.25">
      <c r="A6" s="1" t="s">
        <v>28</v>
      </c>
      <c r="B6" s="5">
        <f>B4*25.68%</f>
        <v>523.87</v>
      </c>
      <c r="C6" s="5">
        <f t="shared" ref="C6:O6" si="7">C4*25.68%</f>
        <v>523.87</v>
      </c>
      <c r="D6" s="5">
        <f t="shared" si="7"/>
        <v>523.87</v>
      </c>
      <c r="E6" s="5">
        <f t="shared" si="7"/>
        <v>523.87</v>
      </c>
      <c r="F6" s="5">
        <f t="shared" si="7"/>
        <v>523.87</v>
      </c>
      <c r="G6" s="5"/>
      <c r="H6" s="5">
        <f t="shared" si="7"/>
        <v>523.87</v>
      </c>
      <c r="I6" s="5">
        <f t="shared" si="7"/>
        <v>523.87</v>
      </c>
      <c r="J6" s="5">
        <f t="shared" si="7"/>
        <v>130.97</v>
      </c>
      <c r="K6" s="5">
        <f t="shared" si="7"/>
        <v>130.97</v>
      </c>
      <c r="L6" s="5">
        <f t="shared" si="7"/>
        <v>130.97</v>
      </c>
      <c r="M6" s="5">
        <f t="shared" si="7"/>
        <v>130.97</v>
      </c>
      <c r="N6" s="5">
        <f t="shared" si="7"/>
        <v>130.97</v>
      </c>
      <c r="O6" s="5">
        <f t="shared" si="7"/>
        <v>130.97</v>
      </c>
      <c r="P6" s="6">
        <f t="shared" si="6"/>
        <v>4452.91</v>
      </c>
      <c r="Q6" s="5"/>
      <c r="R6" s="29"/>
      <c r="W6" s="15"/>
      <c r="X6" s="15"/>
      <c r="Y6" s="15"/>
      <c r="Z6" s="15"/>
      <c r="AA6" s="15">
        <v>-54.53</v>
      </c>
      <c r="AB6" s="1">
        <f>+Y6+AA6+Y7+AA7</f>
        <v>-38.04</v>
      </c>
    </row>
    <row r="7" spans="1:28" s="1" customFormat="1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W7" s="15"/>
      <c r="X7" s="15"/>
      <c r="Y7" s="15"/>
      <c r="Z7" s="15"/>
      <c r="AA7" s="15">
        <f>-38.04-AA6</f>
        <v>16.489999999999998</v>
      </c>
    </row>
    <row r="8" spans="1:28" s="1" customFormat="1" ht="19.899999999999999" customHeight="1" x14ac:dyDescent="0.25">
      <c r="A8" s="1" t="s">
        <v>30</v>
      </c>
      <c r="B8" s="5">
        <f t="shared" ref="B8:O8" si="8">-B4*0.126%</f>
        <v>-2.57</v>
      </c>
      <c r="C8" s="5">
        <f t="shared" si="8"/>
        <v>-2.57</v>
      </c>
      <c r="D8" s="5">
        <f t="shared" si="8"/>
        <v>-2.57</v>
      </c>
      <c r="E8" s="5">
        <f t="shared" si="8"/>
        <v>-2.57</v>
      </c>
      <c r="F8" s="5">
        <f t="shared" si="8"/>
        <v>-2.57</v>
      </c>
      <c r="G8" s="5">
        <f>-G5*0.126%</f>
        <v>-0.59</v>
      </c>
      <c r="H8" s="5">
        <f t="shared" si="8"/>
        <v>-2.57</v>
      </c>
      <c r="I8" s="5">
        <f t="shared" si="8"/>
        <v>-2.57</v>
      </c>
      <c r="J8" s="5">
        <f t="shared" si="8"/>
        <v>-0.64</v>
      </c>
      <c r="K8" s="5">
        <f t="shared" si="8"/>
        <v>-0.64</v>
      </c>
      <c r="L8" s="5">
        <f t="shared" si="8"/>
        <v>-0.64</v>
      </c>
      <c r="M8" s="5">
        <f t="shared" si="8"/>
        <v>-0.64</v>
      </c>
      <c r="N8" s="5">
        <f t="shared" si="8"/>
        <v>-0.64</v>
      </c>
      <c r="O8" s="5">
        <f t="shared" si="8"/>
        <v>-0.64</v>
      </c>
      <c r="P8" s="6">
        <f t="shared" si="6"/>
        <v>-22.42</v>
      </c>
      <c r="Q8" s="5"/>
    </row>
    <row r="9" spans="1:28" s="1" customFormat="1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29"/>
    </row>
    <row r="10" spans="1:28" s="11" customFormat="1" ht="19.899999999999999" customHeight="1" x14ac:dyDescent="0.3">
      <c r="A10" s="7" t="s">
        <v>31</v>
      </c>
      <c r="B10" s="16">
        <f>SUM(B4:B9)</f>
        <v>2561.3000000000002</v>
      </c>
      <c r="C10" s="16">
        <f>SUM(C4:C9)</f>
        <v>2561.3000000000002</v>
      </c>
      <c r="D10" s="16">
        <f>SUM(D4:D9)</f>
        <v>2561.3000000000002</v>
      </c>
      <c r="E10" s="16">
        <f>SUM(E4:E9)</f>
        <v>2561.3000000000002</v>
      </c>
      <c r="F10" s="16">
        <f>SUM(F4:F9)</f>
        <v>2561.3000000000002</v>
      </c>
      <c r="G10" s="16">
        <f>SUM(G5:G9)</f>
        <v>468.61</v>
      </c>
      <c r="H10" s="16">
        <f t="shared" ref="H10:O10" si="9">SUM(H4:H9)</f>
        <v>2561.3000000000002</v>
      </c>
      <c r="I10" s="16">
        <f t="shared" si="9"/>
        <v>2561.3000000000002</v>
      </c>
      <c r="J10" s="16">
        <f t="shared" si="9"/>
        <v>640.33000000000004</v>
      </c>
      <c r="K10" s="16">
        <f>SUM(K4:K9)</f>
        <v>640.33000000000004</v>
      </c>
      <c r="L10" s="16">
        <f>SUM(L4:L9)</f>
        <v>640.33000000000004</v>
      </c>
      <c r="M10" s="16">
        <f>SUM(M4:M9)</f>
        <v>640.33000000000004</v>
      </c>
      <c r="N10" s="16">
        <f>SUM(N4:N9)</f>
        <v>640.33000000000004</v>
      </c>
      <c r="O10" s="16">
        <f t="shared" si="9"/>
        <v>640.33000000000004</v>
      </c>
      <c r="P10" s="9">
        <f t="shared" ref="P10" si="10">SUM(B10:O10)</f>
        <v>22239.69</v>
      </c>
      <c r="Q10" s="10"/>
    </row>
    <row r="11" spans="1:28" s="1" customFormat="1" ht="19.899999999999999" customHeight="1" x14ac:dyDescent="0.25">
      <c r="A11" s="1" t="s">
        <v>32</v>
      </c>
      <c r="B11" s="15">
        <v>30</v>
      </c>
      <c r="C11" s="15">
        <v>30</v>
      </c>
      <c r="D11" s="15">
        <v>30</v>
      </c>
      <c r="E11" s="15">
        <v>30</v>
      </c>
      <c r="F11" s="15">
        <v>30</v>
      </c>
      <c r="G11" s="15">
        <v>30</v>
      </c>
      <c r="H11" s="15">
        <v>30</v>
      </c>
      <c r="I11" s="15">
        <v>30</v>
      </c>
      <c r="J11" s="15">
        <v>30</v>
      </c>
      <c r="K11" s="15">
        <v>30</v>
      </c>
      <c r="L11" s="15">
        <v>30</v>
      </c>
      <c r="M11" s="15">
        <v>30</v>
      </c>
      <c r="N11" s="15">
        <v>30</v>
      </c>
      <c r="O11" s="15"/>
      <c r="P11" s="6"/>
      <c r="Q11" s="5"/>
    </row>
    <row r="12" spans="1:28" s="1" customFormat="1" ht="19.899999999999999" customHeight="1" x14ac:dyDescent="0.25">
      <c r="A12" s="1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"/>
      <c r="Q12" s="5"/>
    </row>
    <row r="13" spans="1:28" s="1" customFormat="1" ht="19.899999999999999" customHeight="1" x14ac:dyDescent="0.25">
      <c r="A13" s="1" t="s">
        <v>34</v>
      </c>
      <c r="B13" s="1">
        <v>137.4</v>
      </c>
      <c r="C13" s="1">
        <v>137.4</v>
      </c>
      <c r="D13" s="1">
        <v>137.4</v>
      </c>
      <c r="E13" s="1">
        <v>137.4</v>
      </c>
      <c r="F13" s="1">
        <v>137.4</v>
      </c>
      <c r="G13" s="12"/>
      <c r="H13" s="1">
        <v>137.4</v>
      </c>
      <c r="I13" s="1">
        <v>137.4</v>
      </c>
      <c r="J13" s="1">
        <v>68.7</v>
      </c>
      <c r="K13" s="1">
        <v>137.4</v>
      </c>
      <c r="L13" s="1">
        <v>137.4</v>
      </c>
      <c r="M13" s="1">
        <v>137.4</v>
      </c>
      <c r="N13" s="1">
        <v>103.05</v>
      </c>
      <c r="O13" s="12"/>
      <c r="P13" s="6">
        <f t="shared" ref="P13" si="11">SUM(B13:O13)</f>
        <v>1545.75</v>
      </c>
      <c r="Q13" s="5"/>
    </row>
    <row r="14" spans="1:28" s="1" customFormat="1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12"/>
      <c r="P14" s="6"/>
      <c r="Q14"/>
      <c r="R14"/>
    </row>
    <row r="15" spans="1:28" s="11" customFormat="1" ht="19.899999999999999" customHeight="1" x14ac:dyDescent="0.3">
      <c r="A15" s="7" t="s">
        <v>25</v>
      </c>
      <c r="B15" s="8">
        <f t="shared" ref="B15:P15" si="12">SUM(B10:B14)</f>
        <v>2728.7</v>
      </c>
      <c r="C15" s="8">
        <f t="shared" si="12"/>
        <v>2728.7</v>
      </c>
      <c r="D15" s="8">
        <f t="shared" si="12"/>
        <v>2728.7</v>
      </c>
      <c r="E15" s="8">
        <f t="shared" si="12"/>
        <v>2728.7</v>
      </c>
      <c r="F15" s="8">
        <f t="shared" si="12"/>
        <v>2728.7</v>
      </c>
      <c r="G15" s="8">
        <f t="shared" si="12"/>
        <v>498.61</v>
      </c>
      <c r="H15" s="8">
        <f t="shared" si="12"/>
        <v>2728.7</v>
      </c>
      <c r="I15" s="8">
        <f t="shared" si="12"/>
        <v>2728.7</v>
      </c>
      <c r="J15" s="8">
        <f t="shared" si="12"/>
        <v>739.03</v>
      </c>
      <c r="K15" s="8">
        <f t="shared" si="12"/>
        <v>807.73</v>
      </c>
      <c r="L15" s="8">
        <f t="shared" si="12"/>
        <v>807.73</v>
      </c>
      <c r="M15" s="8">
        <f t="shared" si="12"/>
        <v>807.73</v>
      </c>
      <c r="N15" s="8">
        <f t="shared" si="12"/>
        <v>773.38</v>
      </c>
      <c r="O15" s="8">
        <f t="shared" si="12"/>
        <v>640.33000000000004</v>
      </c>
      <c r="P15" s="9">
        <f t="shared" si="12"/>
        <v>23785.439999999999</v>
      </c>
      <c r="Q15"/>
      <c r="R15"/>
    </row>
    <row r="16" spans="1:28" s="1" customFormat="1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 t="s">
        <v>35</v>
      </c>
      <c r="P16" s="13">
        <f>SUM(B15:O15)</f>
        <v>24175.439999999999</v>
      </c>
      <c r="Q16" s="5"/>
    </row>
    <row r="17" spans="1:17" s="11" customFormat="1" ht="19.899999999999999" customHeight="1" x14ac:dyDescent="0.3">
      <c r="A17" s="7" t="s">
        <v>20</v>
      </c>
      <c r="B17" s="8">
        <f>B4*18.8%</f>
        <v>383.52</v>
      </c>
      <c r="C17" s="8">
        <f t="shared" ref="C17:N17" si="13">C4*18.8%</f>
        <v>383.52</v>
      </c>
      <c r="D17" s="8">
        <f t="shared" si="13"/>
        <v>383.52</v>
      </c>
      <c r="E17" s="8">
        <f t="shared" si="13"/>
        <v>383.52</v>
      </c>
      <c r="F17" s="8">
        <f t="shared" si="13"/>
        <v>383.52</v>
      </c>
      <c r="G17" s="8"/>
      <c r="H17" s="8">
        <f t="shared" si="13"/>
        <v>383.52</v>
      </c>
      <c r="I17" s="8">
        <f t="shared" si="13"/>
        <v>383.52</v>
      </c>
      <c r="J17" s="8">
        <f t="shared" si="13"/>
        <v>95.88</v>
      </c>
      <c r="K17" s="8">
        <f t="shared" si="13"/>
        <v>95.88</v>
      </c>
      <c r="L17" s="8">
        <f t="shared" si="13"/>
        <v>95.88</v>
      </c>
      <c r="M17" s="8">
        <f t="shared" si="13"/>
        <v>95.88</v>
      </c>
      <c r="N17" s="8">
        <f t="shared" si="13"/>
        <v>95.88</v>
      </c>
      <c r="O17" s="8"/>
      <c r="P17" s="9">
        <f>SUM(B17:O17)</f>
        <v>3164.04</v>
      </c>
      <c r="Q17" s="10"/>
    </row>
    <row r="18" spans="1:17" s="11" customFormat="1" ht="19.899999999999999" customHeight="1" x14ac:dyDescent="0.3">
      <c r="A18" s="7" t="s">
        <v>21</v>
      </c>
      <c r="B18" s="8">
        <f>$O10/12</f>
        <v>53.36</v>
      </c>
      <c r="C18" s="8">
        <f t="shared" ref="C18:N18" si="14">$O10/12</f>
        <v>53.36</v>
      </c>
      <c r="D18" s="8">
        <f t="shared" si="14"/>
        <v>53.36</v>
      </c>
      <c r="E18" s="8">
        <f t="shared" si="14"/>
        <v>53.36</v>
      </c>
      <c r="F18" s="8">
        <f t="shared" si="14"/>
        <v>53.36</v>
      </c>
      <c r="G18" s="8"/>
      <c r="H18" s="8">
        <f t="shared" si="14"/>
        <v>53.36</v>
      </c>
      <c r="I18" s="8">
        <f t="shared" si="14"/>
        <v>53.36</v>
      </c>
      <c r="J18" s="8">
        <f t="shared" si="14"/>
        <v>53.36</v>
      </c>
      <c r="K18" s="8">
        <f t="shared" si="14"/>
        <v>53.36</v>
      </c>
      <c r="L18" s="8">
        <f t="shared" si="14"/>
        <v>53.36</v>
      </c>
      <c r="M18" s="8">
        <f t="shared" si="14"/>
        <v>53.36</v>
      </c>
      <c r="N18" s="8">
        <f t="shared" si="14"/>
        <v>53.36</v>
      </c>
      <c r="O18" s="8"/>
      <c r="P18" s="9">
        <f>SUM(B18:O18)</f>
        <v>640.32000000000005</v>
      </c>
      <c r="Q18" s="10"/>
    </row>
    <row r="20" spans="1:17" s="11" customFormat="1" ht="19.899999999999999" customHeight="1" x14ac:dyDescent="0.3">
      <c r="A20" s="7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>SUM(B20:O20)</f>
        <v>0</v>
      </c>
      <c r="Q20" s="10"/>
    </row>
    <row r="21" spans="1:17" s="1" customFormat="1" x14ac:dyDescent="0.3">
      <c r="O21"/>
      <c r="P21" s="2"/>
    </row>
    <row r="22" spans="1:17" s="1" customFormat="1" x14ac:dyDescent="0.3">
      <c r="B22" s="1">
        <f t="shared" ref="B22:F22" si="15">B13/6.87</f>
        <v>20</v>
      </c>
      <c r="C22" s="1">
        <f t="shared" si="15"/>
        <v>20</v>
      </c>
      <c r="D22" s="1">
        <f t="shared" si="15"/>
        <v>20</v>
      </c>
      <c r="E22" s="1">
        <f t="shared" si="15"/>
        <v>20</v>
      </c>
      <c r="F22" s="1">
        <f t="shared" si="15"/>
        <v>20</v>
      </c>
      <c r="H22" s="1">
        <f>H13/6.87</f>
        <v>20</v>
      </c>
      <c r="I22" s="1">
        <f t="shared" ref="I22:N22" si="16">I13/6.87</f>
        <v>20</v>
      </c>
      <c r="J22" s="1">
        <f t="shared" si="16"/>
        <v>10</v>
      </c>
      <c r="K22" s="1">
        <f t="shared" si="16"/>
        <v>20</v>
      </c>
      <c r="L22" s="1">
        <f t="shared" si="16"/>
        <v>20</v>
      </c>
      <c r="M22" s="1">
        <f t="shared" si="16"/>
        <v>20</v>
      </c>
      <c r="N22" s="1">
        <f t="shared" si="16"/>
        <v>15</v>
      </c>
      <c r="O22" s="13"/>
      <c r="P22" s="2">
        <f>SUM(B22:O22)</f>
        <v>225</v>
      </c>
    </row>
    <row r="23" spans="1:17" s="1" customFormat="1" ht="12.5" x14ac:dyDescent="0.25"/>
    <row r="24" spans="1:17" s="1" customFormat="1" x14ac:dyDescent="0.3">
      <c r="O24"/>
      <c r="P24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showZeros="0" showOutlineSymbols="0" zoomScaleNormal="85" workbookViewId="0">
      <selection activeCell="G6" sqref="G6"/>
    </sheetView>
  </sheetViews>
  <sheetFormatPr defaultColWidth="11.7265625" defaultRowHeight="13" x14ac:dyDescent="0.3"/>
  <cols>
    <col min="1" max="1" width="15.81640625" style="1" customWidth="1"/>
    <col min="2" max="6" width="8.54296875" style="1" customWidth="1"/>
    <col min="7" max="7" width="11.7265625" style="1" customWidth="1"/>
    <col min="8" max="15" width="8.54296875" style="1" customWidth="1"/>
    <col min="16" max="16" width="10" style="2" customWidth="1"/>
    <col min="17" max="17" width="8.54296875" style="1" customWidth="1"/>
    <col min="18" max="255" width="11.7265625" style="1" customWidth="1"/>
  </cols>
  <sheetData>
    <row r="1" spans="1:28" ht="15.5" x14ac:dyDescent="0.35">
      <c r="A1" s="3" t="s">
        <v>117</v>
      </c>
    </row>
    <row r="2" spans="1:28" x14ac:dyDescent="0.3">
      <c r="A2" s="1" t="s">
        <v>99</v>
      </c>
    </row>
    <row r="3" spans="1:28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92" t="s">
        <v>14</v>
      </c>
      <c r="O3" s="22" t="s">
        <v>52</v>
      </c>
      <c r="P3" s="4" t="s">
        <v>25</v>
      </c>
    </row>
    <row r="4" spans="1:28" ht="19.899999999999999" customHeight="1" x14ac:dyDescent="0.25">
      <c r="A4" s="1" t="s">
        <v>26</v>
      </c>
      <c r="B4" s="5">
        <f>'2018'!D17</f>
        <v>1785</v>
      </c>
      <c r="C4" s="5">
        <f>B4</f>
        <v>1785</v>
      </c>
      <c r="D4" s="5">
        <f t="shared" ref="D4:O4" si="0">C4</f>
        <v>1785</v>
      </c>
      <c r="E4" s="5">
        <f t="shared" si="0"/>
        <v>1785</v>
      </c>
      <c r="F4" s="5">
        <f t="shared" si="0"/>
        <v>1785</v>
      </c>
      <c r="G4" s="5"/>
      <c r="H4" s="5">
        <f>F4</f>
        <v>1785</v>
      </c>
      <c r="I4" s="5">
        <f t="shared" si="0"/>
        <v>1785</v>
      </c>
      <c r="J4" s="5">
        <f>I4*3/12</f>
        <v>446.25</v>
      </c>
      <c r="K4" s="5">
        <f t="shared" si="0"/>
        <v>446.25</v>
      </c>
      <c r="L4" s="5">
        <f t="shared" si="0"/>
        <v>446.25</v>
      </c>
      <c r="M4" s="5">
        <f t="shared" si="0"/>
        <v>446.25</v>
      </c>
      <c r="N4" s="5">
        <f t="shared" si="0"/>
        <v>446.25</v>
      </c>
      <c r="O4" s="5">
        <f t="shared" si="0"/>
        <v>446.25</v>
      </c>
      <c r="P4" s="6">
        <f>SUM(B4:O4)</f>
        <v>15172.5</v>
      </c>
      <c r="Q4" s="5"/>
      <c r="W4" s="15"/>
      <c r="X4" s="15"/>
      <c r="Y4" s="15"/>
      <c r="Z4" s="15"/>
      <c r="AA4" s="15">
        <v>-36.99</v>
      </c>
      <c r="AB4" s="1" t="s">
        <v>62</v>
      </c>
    </row>
    <row r="5" spans="1:28" ht="19.899999999999999" customHeight="1" x14ac:dyDescent="0.25">
      <c r="A5" s="1" t="s">
        <v>27</v>
      </c>
      <c r="B5" s="5"/>
      <c r="C5" s="5"/>
      <c r="D5" s="5"/>
      <c r="E5" s="5"/>
      <c r="F5" s="5"/>
      <c r="G5" s="5">
        <f>F4*0.92*3/12</f>
        <v>410.55</v>
      </c>
      <c r="H5" s="5"/>
      <c r="I5" s="5"/>
      <c r="J5" s="5"/>
      <c r="K5" s="5"/>
      <c r="L5" s="5"/>
      <c r="M5" s="5"/>
      <c r="N5" s="5"/>
      <c r="O5" s="5"/>
      <c r="P5" s="6">
        <f>SUM(B5:O5)</f>
        <v>410.55</v>
      </c>
      <c r="Q5" s="5"/>
      <c r="W5" s="15"/>
      <c r="X5" s="15"/>
      <c r="Y5" s="15"/>
      <c r="Z5" s="15"/>
      <c r="AA5" s="15">
        <v>-39.130000000000003</v>
      </c>
      <c r="AB5" s="1">
        <f>+Y5+AA5</f>
        <v>-39.130000000000003</v>
      </c>
    </row>
    <row r="6" spans="1:28" ht="19.899999999999999" customHeight="1" x14ac:dyDescent="0.25">
      <c r="A6" s="1" t="s">
        <v>28</v>
      </c>
      <c r="B6" s="5">
        <f>B4*25.68%</f>
        <v>458.39</v>
      </c>
      <c r="C6" s="5">
        <f t="shared" ref="C6:N6" si="1">C4*25.68%</f>
        <v>458.39</v>
      </c>
      <c r="D6" s="5">
        <f t="shared" si="1"/>
        <v>458.39</v>
      </c>
      <c r="E6" s="5">
        <f t="shared" si="1"/>
        <v>458.39</v>
      </c>
      <c r="F6" s="5">
        <f t="shared" si="1"/>
        <v>458.39</v>
      </c>
      <c r="G6" s="5">
        <f t="shared" si="1"/>
        <v>0</v>
      </c>
      <c r="H6" s="5">
        <f t="shared" si="1"/>
        <v>458.39</v>
      </c>
      <c r="I6" s="5">
        <f t="shared" si="1"/>
        <v>458.39</v>
      </c>
      <c r="J6" s="5">
        <f t="shared" si="1"/>
        <v>114.6</v>
      </c>
      <c r="K6" s="5">
        <f t="shared" si="1"/>
        <v>114.6</v>
      </c>
      <c r="L6" s="5">
        <f t="shared" si="1"/>
        <v>114.6</v>
      </c>
      <c r="M6" s="5">
        <f t="shared" si="1"/>
        <v>114.6</v>
      </c>
      <c r="N6" s="5">
        <f t="shared" si="1"/>
        <v>114.6</v>
      </c>
      <c r="O6" s="5">
        <f>O4*30.68%</f>
        <v>136.91</v>
      </c>
      <c r="P6" s="6">
        <f>SUM(B6:O6)</f>
        <v>3918.64</v>
      </c>
      <c r="Q6" s="5"/>
      <c r="R6" s="29"/>
      <c r="W6" s="15"/>
      <c r="X6" s="15"/>
      <c r="Y6" s="15"/>
      <c r="Z6" s="15"/>
      <c r="AA6" s="15">
        <v>-54.53</v>
      </c>
      <c r="AB6" s="1">
        <f>+Y6+AA6+Y7+AA7</f>
        <v>-38.04</v>
      </c>
    </row>
    <row r="7" spans="1:28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W7" s="15"/>
      <c r="X7" s="15"/>
      <c r="Y7" s="15"/>
      <c r="Z7" s="15"/>
      <c r="AA7" s="15">
        <f>-38.04-AA6</f>
        <v>16.489999999999998</v>
      </c>
    </row>
    <row r="8" spans="1:28" ht="19.899999999999999" customHeight="1" x14ac:dyDescent="0.25">
      <c r="A8" s="1" t="s">
        <v>30</v>
      </c>
      <c r="B8" s="5">
        <f t="shared" ref="B8:O8" si="2">-B4*0.126%</f>
        <v>-2.25</v>
      </c>
      <c r="C8" s="5">
        <f t="shared" si="2"/>
        <v>-2.25</v>
      </c>
      <c r="D8" s="5">
        <f t="shared" si="2"/>
        <v>-2.25</v>
      </c>
      <c r="E8" s="5">
        <f t="shared" si="2"/>
        <v>-2.25</v>
      </c>
      <c r="F8" s="5">
        <f t="shared" si="2"/>
        <v>-2.25</v>
      </c>
      <c r="G8" s="5">
        <f>-G5*0.126%</f>
        <v>-0.52</v>
      </c>
      <c r="H8" s="5">
        <f t="shared" si="2"/>
        <v>-2.25</v>
      </c>
      <c r="I8" s="5">
        <f t="shared" si="2"/>
        <v>-2.25</v>
      </c>
      <c r="J8" s="5">
        <f t="shared" si="2"/>
        <v>-0.56000000000000005</v>
      </c>
      <c r="K8" s="5">
        <f t="shared" si="2"/>
        <v>-0.56000000000000005</v>
      </c>
      <c r="L8" s="5">
        <f t="shared" si="2"/>
        <v>-0.56000000000000005</v>
      </c>
      <c r="M8" s="5">
        <f t="shared" si="2"/>
        <v>-0.56000000000000005</v>
      </c>
      <c r="N8" s="5">
        <f t="shared" si="2"/>
        <v>-0.56000000000000005</v>
      </c>
      <c r="O8" s="5">
        <f t="shared" si="2"/>
        <v>-0.56000000000000005</v>
      </c>
      <c r="P8" s="6">
        <f>SUM(B8:O8)</f>
        <v>-19.63</v>
      </c>
      <c r="Q8" s="5"/>
    </row>
    <row r="9" spans="1:28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29"/>
    </row>
    <row r="10" spans="1:28" s="11" customFormat="1" ht="19.899999999999999" customHeight="1" x14ac:dyDescent="0.3">
      <c r="A10" s="7" t="s">
        <v>31</v>
      </c>
      <c r="B10" s="16">
        <f>SUM(B4:B9)</f>
        <v>2241.14</v>
      </c>
      <c r="C10" s="16">
        <f>SUM(C4:C9)</f>
        <v>2241.14</v>
      </c>
      <c r="D10" s="16">
        <f>SUM(D4:D9)</f>
        <v>2241.14</v>
      </c>
      <c r="E10" s="16">
        <f>SUM(E4:E9)</f>
        <v>2241.14</v>
      </c>
      <c r="F10" s="16">
        <f>SUM(F4:F9)</f>
        <v>2241.14</v>
      </c>
      <c r="G10" s="16">
        <f>SUM(G5:G9)</f>
        <v>410.03</v>
      </c>
      <c r="H10" s="16">
        <f t="shared" ref="H10:O10" si="3">SUM(H4:H9)</f>
        <v>2241.14</v>
      </c>
      <c r="I10" s="16">
        <f t="shared" si="3"/>
        <v>2241.14</v>
      </c>
      <c r="J10" s="16">
        <f t="shared" si="3"/>
        <v>560.29</v>
      </c>
      <c r="K10" s="16">
        <f>SUM(K4:K9)</f>
        <v>560.29</v>
      </c>
      <c r="L10" s="16">
        <f>SUM(L4:L9)</f>
        <v>560.29</v>
      </c>
      <c r="M10" s="16">
        <f>SUM(M4:M9)</f>
        <v>560.29</v>
      </c>
      <c r="N10" s="16">
        <f>SUM(N4:N9)</f>
        <v>560.29</v>
      </c>
      <c r="O10" s="16">
        <f t="shared" si="3"/>
        <v>582.6</v>
      </c>
      <c r="P10" s="9">
        <f>SUM(B10:O10)</f>
        <v>19482.060000000001</v>
      </c>
      <c r="Q10" s="10"/>
    </row>
    <row r="11" spans="1:28" ht="19.899999999999999" customHeight="1" x14ac:dyDescent="0.25">
      <c r="A11" s="1" t="s">
        <v>32</v>
      </c>
      <c r="B11" s="15">
        <v>30</v>
      </c>
      <c r="C11" s="15">
        <v>30</v>
      </c>
      <c r="D11" s="15">
        <v>30</v>
      </c>
      <c r="E11" s="15">
        <v>30</v>
      </c>
      <c r="F11" s="15">
        <v>30</v>
      </c>
      <c r="G11" s="15">
        <v>30</v>
      </c>
      <c r="H11" s="15">
        <v>30</v>
      </c>
      <c r="I11" s="15">
        <v>30</v>
      </c>
      <c r="J11" s="15">
        <v>30</v>
      </c>
      <c r="K11" s="15">
        <v>30</v>
      </c>
      <c r="L11" s="15">
        <v>30</v>
      </c>
      <c r="M11" s="15">
        <v>30</v>
      </c>
      <c r="N11" s="15">
        <v>30</v>
      </c>
      <c r="O11" s="15"/>
      <c r="P11" s="6">
        <f>SUM(B11:O11)</f>
        <v>390</v>
      </c>
      <c r="Q11" s="5"/>
    </row>
    <row r="12" spans="1:28" ht="19.899999999999999" customHeight="1" x14ac:dyDescent="0.25">
      <c r="A12" s="1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"/>
      <c r="Q12" s="5"/>
    </row>
    <row r="13" spans="1:28" ht="19.899999999999999" customHeight="1" x14ac:dyDescent="0.25">
      <c r="A13" s="1" t="s">
        <v>34</v>
      </c>
      <c r="B13" s="1">
        <f>137.4/2</f>
        <v>68.7</v>
      </c>
      <c r="C13" s="1">
        <f t="shared" ref="C13:F13" si="4">137.4/2</f>
        <v>68.7</v>
      </c>
      <c r="D13" s="1">
        <f t="shared" si="4"/>
        <v>68.7</v>
      </c>
      <c r="E13" s="1">
        <f t="shared" si="4"/>
        <v>68.7</v>
      </c>
      <c r="F13" s="1">
        <f t="shared" si="4"/>
        <v>68.7</v>
      </c>
      <c r="G13" s="12"/>
      <c r="H13" s="1">
        <v>0</v>
      </c>
      <c r="I13" s="1">
        <f t="shared" ref="I13:N13" si="5">137.4/2</f>
        <v>68.7</v>
      </c>
      <c r="J13" s="1">
        <f t="shared" si="5"/>
        <v>68.7</v>
      </c>
      <c r="K13" s="1">
        <f t="shared" si="5"/>
        <v>68.7</v>
      </c>
      <c r="L13" s="1">
        <f t="shared" si="5"/>
        <v>68.7</v>
      </c>
      <c r="M13" s="1">
        <f t="shared" si="5"/>
        <v>68.7</v>
      </c>
      <c r="N13" s="1">
        <f t="shared" si="5"/>
        <v>68.7</v>
      </c>
      <c r="O13" s="12"/>
      <c r="P13" s="6">
        <f>SUM(B13:O13)</f>
        <v>755.7</v>
      </c>
      <c r="Q13" s="5"/>
    </row>
    <row r="14" spans="1:28" ht="19.899999999999999" customHeight="1" x14ac:dyDescent="0.25">
      <c r="B14" s="5"/>
      <c r="C14" s="5"/>
      <c r="D14" s="5"/>
      <c r="E14" s="5"/>
      <c r="F14" s="5"/>
      <c r="G14" s="12"/>
      <c r="H14" s="5" t="s">
        <v>114</v>
      </c>
      <c r="I14" s="5"/>
      <c r="J14" s="5"/>
      <c r="K14" s="5"/>
      <c r="L14" s="5"/>
      <c r="M14" s="5"/>
      <c r="N14" s="5"/>
      <c r="O14" s="12"/>
      <c r="P14" s="6"/>
      <c r="Q14"/>
      <c r="R14"/>
    </row>
    <row r="15" spans="1:28" s="11" customFormat="1" ht="19.899999999999999" customHeight="1" x14ac:dyDescent="0.3">
      <c r="A15" s="7" t="s">
        <v>25</v>
      </c>
      <c r="B15" s="8">
        <f t="shared" ref="B15:P15" si="6">SUM(B10:B14)</f>
        <v>2339.84</v>
      </c>
      <c r="C15" s="8">
        <f t="shared" si="6"/>
        <v>2339.84</v>
      </c>
      <c r="D15" s="8">
        <f t="shared" si="6"/>
        <v>2339.84</v>
      </c>
      <c r="E15" s="8">
        <f t="shared" si="6"/>
        <v>2339.84</v>
      </c>
      <c r="F15" s="8">
        <f t="shared" si="6"/>
        <v>2339.84</v>
      </c>
      <c r="G15" s="8">
        <f t="shared" si="6"/>
        <v>440.03</v>
      </c>
      <c r="H15" s="8">
        <f t="shared" si="6"/>
        <v>2271.14</v>
      </c>
      <c r="I15" s="8">
        <f t="shared" si="6"/>
        <v>2339.84</v>
      </c>
      <c r="J15" s="8">
        <f t="shared" si="6"/>
        <v>658.99</v>
      </c>
      <c r="K15" s="8">
        <f t="shared" si="6"/>
        <v>658.99</v>
      </c>
      <c r="L15" s="8">
        <f t="shared" si="6"/>
        <v>658.99</v>
      </c>
      <c r="M15" s="8">
        <f t="shared" si="6"/>
        <v>658.99</v>
      </c>
      <c r="N15" s="8">
        <f t="shared" si="6"/>
        <v>658.99</v>
      </c>
      <c r="O15" s="8">
        <f t="shared" si="6"/>
        <v>582.6</v>
      </c>
      <c r="P15" s="9">
        <f t="shared" si="6"/>
        <v>20627.759999999998</v>
      </c>
      <c r="Q15"/>
      <c r="R15"/>
    </row>
    <row r="16" spans="1:28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 t="s">
        <v>35</v>
      </c>
      <c r="P16" s="13">
        <f>SUM(B15:O15)</f>
        <v>20627.759999999998</v>
      </c>
      <c r="Q16" s="5"/>
    </row>
    <row r="17" spans="1:17" s="11" customFormat="1" ht="19.899999999999999" customHeight="1" x14ac:dyDescent="0.3">
      <c r="A17" s="7" t="s">
        <v>20</v>
      </c>
      <c r="B17" s="8">
        <f>B4*18.8%</f>
        <v>335.58</v>
      </c>
      <c r="C17" s="8">
        <f t="shared" ref="C17:N17" si="7">C4*18.8%</f>
        <v>335.58</v>
      </c>
      <c r="D17" s="8">
        <f t="shared" si="7"/>
        <v>335.58</v>
      </c>
      <c r="E17" s="8">
        <f t="shared" si="7"/>
        <v>335.58</v>
      </c>
      <c r="F17" s="8">
        <f t="shared" si="7"/>
        <v>335.58</v>
      </c>
      <c r="G17" s="8"/>
      <c r="H17" s="8">
        <f t="shared" si="7"/>
        <v>335.58</v>
      </c>
      <c r="I17" s="8">
        <f t="shared" si="7"/>
        <v>335.58</v>
      </c>
      <c r="J17" s="8">
        <f t="shared" si="7"/>
        <v>83.9</v>
      </c>
      <c r="K17" s="8">
        <f t="shared" si="7"/>
        <v>83.9</v>
      </c>
      <c r="L17" s="8">
        <f t="shared" si="7"/>
        <v>83.9</v>
      </c>
      <c r="M17" s="8">
        <f t="shared" si="7"/>
        <v>83.9</v>
      </c>
      <c r="N17" s="8">
        <f t="shared" si="7"/>
        <v>83.9</v>
      </c>
      <c r="O17" s="8"/>
      <c r="P17" s="9">
        <f>SUM(B17:O17)</f>
        <v>2768.56</v>
      </c>
      <c r="Q17" s="10"/>
    </row>
    <row r="18" spans="1:17" s="11" customFormat="1" ht="19.899999999999999" customHeight="1" x14ac:dyDescent="0.3">
      <c r="A18" s="7" t="s">
        <v>21</v>
      </c>
      <c r="B18" s="8">
        <f t="shared" ref="B18:F18" si="8">$O10/12</f>
        <v>48.55</v>
      </c>
      <c r="C18" s="8">
        <f t="shared" si="8"/>
        <v>48.55</v>
      </c>
      <c r="D18" s="8">
        <f t="shared" si="8"/>
        <v>48.55</v>
      </c>
      <c r="E18" s="8">
        <f t="shared" si="8"/>
        <v>48.55</v>
      </c>
      <c r="F18" s="8">
        <f t="shared" si="8"/>
        <v>48.55</v>
      </c>
      <c r="G18" s="8"/>
      <c r="H18" s="8">
        <f t="shared" ref="H18:M18" si="9">$O10/12</f>
        <v>48.55</v>
      </c>
      <c r="I18" s="8">
        <f t="shared" si="9"/>
        <v>48.55</v>
      </c>
      <c r="J18" s="8">
        <f t="shared" si="9"/>
        <v>48.55</v>
      </c>
      <c r="K18" s="8">
        <f t="shared" si="9"/>
        <v>48.55</v>
      </c>
      <c r="L18" s="8">
        <f t="shared" si="9"/>
        <v>48.55</v>
      </c>
      <c r="M18" s="8">
        <f t="shared" si="9"/>
        <v>48.55</v>
      </c>
      <c r="N18" s="8">
        <f t="shared" ref="N18" si="10">$O10/12</f>
        <v>48.55</v>
      </c>
      <c r="O18" s="8"/>
      <c r="P18" s="9">
        <f>SUM(B18:O18)</f>
        <v>582.6</v>
      </c>
      <c r="Q18" s="10"/>
    </row>
    <row r="20" spans="1:17" s="11" customFormat="1" ht="19.899999999999999" customHeight="1" x14ac:dyDescent="0.3">
      <c r="A20" s="7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>SUM(B20:O20)</f>
        <v>0</v>
      </c>
      <c r="Q20" s="10"/>
    </row>
    <row r="21" spans="1:17" x14ac:dyDescent="0.3">
      <c r="O21"/>
    </row>
    <row r="22" spans="1:17" x14ac:dyDescent="0.3">
      <c r="B22" s="1">
        <f t="shared" ref="B22:F22" si="11">B13/6.87</f>
        <v>10</v>
      </c>
      <c r="C22" s="1">
        <f t="shared" si="11"/>
        <v>10</v>
      </c>
      <c r="D22" s="1">
        <f t="shared" si="11"/>
        <v>10</v>
      </c>
      <c r="E22" s="1">
        <f t="shared" si="11"/>
        <v>10</v>
      </c>
      <c r="F22" s="1">
        <f t="shared" si="11"/>
        <v>10</v>
      </c>
      <c r="H22" s="1">
        <f>H13/6.87</f>
        <v>0</v>
      </c>
      <c r="I22" s="1">
        <f t="shared" ref="I22:N22" si="12">I13/6.87</f>
        <v>10</v>
      </c>
      <c r="J22" s="1">
        <f t="shared" si="12"/>
        <v>10</v>
      </c>
      <c r="K22" s="1">
        <f t="shared" si="12"/>
        <v>10</v>
      </c>
      <c r="L22" s="1">
        <f t="shared" si="12"/>
        <v>10</v>
      </c>
      <c r="M22" s="1">
        <f t="shared" si="12"/>
        <v>10</v>
      </c>
      <c r="N22" s="1">
        <f t="shared" si="12"/>
        <v>10</v>
      </c>
      <c r="O22" s="13"/>
      <c r="P22" s="2">
        <f>SUM(B22:O22)</f>
        <v>110</v>
      </c>
    </row>
    <row r="23" spans="1:17" ht="12.5" x14ac:dyDescent="0.25">
      <c r="P23" s="1"/>
    </row>
    <row r="24" spans="1:17" x14ac:dyDescent="0.3">
      <c r="O24"/>
    </row>
  </sheetData>
  <printOptions horizontalCentered="1"/>
  <pageMargins left="0.19652777777777777" right="0.19652777777777777" top="0.78749999999999998" bottom="1.2194444444444446" header="0.51180555555555562" footer="0.78749999999999998"/>
  <pageSetup paperSize="9" firstPageNumber="0" orientation="landscape" horizontalDpi="300" verticalDpi="300" r:id="rId1"/>
  <headerFooter alignWithMargins="0">
    <oddFooter xml:space="preserve">&amp;L&amp;"Times New Roman,Normal"&amp;9NOMSOCIETE&amp;C&amp;"Times New Roman,Normal"&amp;12Page &amp;P&amp;R&amp;"Times New Roman,Normal"&amp;12&amp;F
&amp;A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showZeros="0" showOutlineSymbols="0" zoomScaleNormal="85" workbookViewId="0">
      <selection activeCell="L22" sqref="L22"/>
    </sheetView>
  </sheetViews>
  <sheetFormatPr defaultColWidth="11.7265625" defaultRowHeight="13" x14ac:dyDescent="0.3"/>
  <cols>
    <col min="1" max="1" width="15.81640625" style="1" customWidth="1"/>
    <col min="2" max="6" width="8.54296875" style="1" customWidth="1"/>
    <col min="7" max="7" width="11.7265625" style="1" customWidth="1"/>
    <col min="8" max="15" width="8.54296875" style="1" customWidth="1"/>
    <col min="16" max="16" width="10" style="2" customWidth="1"/>
    <col min="17" max="17" width="8.54296875" style="1" customWidth="1"/>
    <col min="18" max="255" width="11.7265625" style="1" customWidth="1"/>
  </cols>
  <sheetData>
    <row r="1" spans="1:28" ht="15.5" x14ac:dyDescent="0.35">
      <c r="A1" s="3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6"/>
      <c r="Q1" s="18"/>
    </row>
    <row r="2" spans="1:28" x14ac:dyDescent="0.3">
      <c r="A2" s="1" t="s">
        <v>100</v>
      </c>
      <c r="C2" s="180"/>
      <c r="D2" s="181"/>
    </row>
    <row r="3" spans="1:28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92" t="s">
        <v>14</v>
      </c>
      <c r="O3" s="22" t="s">
        <v>52</v>
      </c>
      <c r="P3" s="4" t="s">
        <v>25</v>
      </c>
    </row>
    <row r="4" spans="1:28" ht="19.899999999999999" customHeight="1" x14ac:dyDescent="0.25">
      <c r="A4" s="1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>
        <f t="shared" ref="P4:P8" si="0">SUM(B4:O4)</f>
        <v>0</v>
      </c>
      <c r="Q4" s="5"/>
      <c r="W4" s="15"/>
      <c r="X4" s="15"/>
      <c r="Y4" s="15"/>
      <c r="Z4" s="15"/>
      <c r="AA4" s="15">
        <v>-36.99</v>
      </c>
      <c r="AB4" s="1" t="s">
        <v>62</v>
      </c>
    </row>
    <row r="5" spans="1:28" ht="19.899999999999999" customHeight="1" x14ac:dyDescent="0.25">
      <c r="A5" s="1" t="s">
        <v>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>
        <f t="shared" si="0"/>
        <v>0</v>
      </c>
      <c r="Q5" s="5"/>
      <c r="W5" s="15"/>
      <c r="X5" s="15"/>
      <c r="Y5" s="15"/>
      <c r="Z5" s="15"/>
      <c r="AA5" s="15">
        <v>-39.130000000000003</v>
      </c>
      <c r="AB5" s="1">
        <f>+Y5+AA5</f>
        <v>-39.130000000000003</v>
      </c>
    </row>
    <row r="6" spans="1:28" ht="19.899999999999999" customHeight="1" x14ac:dyDescent="0.25">
      <c r="A6" s="1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f t="shared" ref="O6" si="1">O4*30.68%</f>
        <v>0</v>
      </c>
      <c r="P6" s="6">
        <f t="shared" si="0"/>
        <v>0</v>
      </c>
      <c r="Q6" s="5"/>
      <c r="R6" s="29"/>
      <c r="W6" s="15"/>
      <c r="X6" s="15"/>
      <c r="Y6" s="15"/>
      <c r="Z6" s="15"/>
      <c r="AA6" s="15">
        <v>-54.53</v>
      </c>
      <c r="AB6" s="1">
        <f>+Y6+AA6+Y7+AA7</f>
        <v>-38.04</v>
      </c>
    </row>
    <row r="7" spans="1:28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W7" s="15"/>
      <c r="X7" s="15"/>
      <c r="Y7" s="15"/>
      <c r="Z7" s="15"/>
      <c r="AA7" s="15">
        <f>-38.04-AA6</f>
        <v>16.489999999999998</v>
      </c>
    </row>
    <row r="8" spans="1:28" ht="19.899999999999999" customHeight="1" x14ac:dyDescent="0.25">
      <c r="A8" s="1" t="s">
        <v>30</v>
      </c>
      <c r="B8" s="5">
        <f t="shared" ref="B8:O8" si="2">-B4*0.126%</f>
        <v>0</v>
      </c>
      <c r="C8" s="5">
        <f t="shared" si="2"/>
        <v>0</v>
      </c>
      <c r="D8" s="5">
        <f t="shared" si="2"/>
        <v>0</v>
      </c>
      <c r="E8" s="5">
        <f t="shared" si="2"/>
        <v>0</v>
      </c>
      <c r="F8" s="5">
        <f t="shared" si="2"/>
        <v>0</v>
      </c>
      <c r="G8" s="5">
        <f>-G5*0.126%</f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6">
        <f t="shared" si="0"/>
        <v>0</v>
      </c>
      <c r="Q8" s="5"/>
    </row>
    <row r="9" spans="1:28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29"/>
    </row>
    <row r="10" spans="1:28" s="11" customFormat="1" ht="19.899999999999999" customHeight="1" x14ac:dyDescent="0.3">
      <c r="A10" s="7" t="s">
        <v>31</v>
      </c>
      <c r="B10" s="16">
        <f>SUM(B4:B9)</f>
        <v>0</v>
      </c>
      <c r="C10" s="16">
        <f>SUM(C4:C9)</f>
        <v>0</v>
      </c>
      <c r="D10" s="16">
        <f>SUM(D4:D9)</f>
        <v>0</v>
      </c>
      <c r="E10" s="16">
        <f>SUM(E4:E9)</f>
        <v>0</v>
      </c>
      <c r="F10" s="16">
        <f>SUM(F4:F9)</f>
        <v>0</v>
      </c>
      <c r="G10" s="16">
        <f>SUM(G5:G9)</f>
        <v>0</v>
      </c>
      <c r="H10" s="16">
        <f t="shared" ref="H10:O10" si="3">SUM(H4:H9)</f>
        <v>0</v>
      </c>
      <c r="I10" s="16">
        <f t="shared" si="3"/>
        <v>0</v>
      </c>
      <c r="J10" s="16">
        <f t="shared" si="3"/>
        <v>0</v>
      </c>
      <c r="K10" s="16">
        <f>SUM(K4:K9)</f>
        <v>0</v>
      </c>
      <c r="L10" s="16">
        <f>SUM(L4:L9)</f>
        <v>0</v>
      </c>
      <c r="M10" s="16">
        <f>SUM(M4:M9)</f>
        <v>0</v>
      </c>
      <c r="N10" s="16">
        <f>SUM(N4:N9)</f>
        <v>0</v>
      </c>
      <c r="O10" s="16">
        <f t="shared" si="3"/>
        <v>0</v>
      </c>
      <c r="P10" s="9">
        <f t="shared" ref="P10:P11" si="4">SUM(B10:O10)</f>
        <v>0</v>
      </c>
      <c r="Q10" s="10"/>
      <c r="S10" s="1"/>
      <c r="T10" s="1"/>
      <c r="U10" s="1"/>
    </row>
    <row r="11" spans="1:28" ht="19.899999999999999" customHeight="1" x14ac:dyDescent="0.25">
      <c r="A11" s="1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6">
        <f t="shared" si="4"/>
        <v>0</v>
      </c>
      <c r="Q11" s="5"/>
    </row>
    <row r="12" spans="1:28" ht="19.899999999999999" customHeight="1" x14ac:dyDescent="0.25">
      <c r="A12" s="1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"/>
      <c r="Q12" s="5"/>
    </row>
    <row r="13" spans="1:28" ht="19.899999999999999" customHeight="1" x14ac:dyDescent="0.25">
      <c r="A13" s="1" t="s">
        <v>34</v>
      </c>
      <c r="G13" s="12"/>
      <c r="O13" s="12"/>
      <c r="P13" s="6">
        <f t="shared" ref="P13" si="5">SUM(B13:O13)</f>
        <v>0</v>
      </c>
      <c r="Q13" s="5"/>
    </row>
    <row r="14" spans="1:28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12"/>
      <c r="P14" s="6"/>
      <c r="Q14"/>
      <c r="R14"/>
    </row>
    <row r="15" spans="1:28" s="11" customFormat="1" ht="19.899999999999999" customHeight="1" x14ac:dyDescent="0.3">
      <c r="A15" s="7" t="s">
        <v>25</v>
      </c>
      <c r="B15" s="8">
        <f t="shared" ref="B15:P15" si="6">SUM(B10:B14)</f>
        <v>0</v>
      </c>
      <c r="C15" s="8">
        <f t="shared" si="6"/>
        <v>0</v>
      </c>
      <c r="D15" s="8">
        <f t="shared" si="6"/>
        <v>0</v>
      </c>
      <c r="E15" s="8">
        <f t="shared" si="6"/>
        <v>0</v>
      </c>
      <c r="F15" s="8">
        <f t="shared" si="6"/>
        <v>0</v>
      </c>
      <c r="G15" s="8">
        <f t="shared" si="6"/>
        <v>0</v>
      </c>
      <c r="H15" s="8">
        <f t="shared" si="6"/>
        <v>0</v>
      </c>
      <c r="I15" s="8">
        <f t="shared" si="6"/>
        <v>0</v>
      </c>
      <c r="J15" s="8">
        <f t="shared" si="6"/>
        <v>0</v>
      </c>
      <c r="K15" s="8">
        <f t="shared" si="6"/>
        <v>0</v>
      </c>
      <c r="L15" s="8">
        <f t="shared" si="6"/>
        <v>0</v>
      </c>
      <c r="M15" s="8">
        <f t="shared" si="6"/>
        <v>0</v>
      </c>
      <c r="N15" s="8">
        <f t="shared" si="6"/>
        <v>0</v>
      </c>
      <c r="O15" s="8">
        <f t="shared" si="6"/>
        <v>0</v>
      </c>
      <c r="P15" s="9">
        <f t="shared" si="6"/>
        <v>0</v>
      </c>
      <c r="Q15"/>
      <c r="R15"/>
    </row>
    <row r="16" spans="1:28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 t="s">
        <v>35</v>
      </c>
      <c r="P16" s="13">
        <f>SUM(B15:O15)</f>
        <v>0</v>
      </c>
      <c r="Q16" s="5"/>
    </row>
    <row r="17" spans="1:17" s="11" customFormat="1" ht="19.899999999999999" customHeight="1" x14ac:dyDescent="0.3">
      <c r="A17" s="7" t="s">
        <v>20</v>
      </c>
      <c r="B17" s="8">
        <f>B4*18.8%</f>
        <v>0</v>
      </c>
      <c r="C17" s="8">
        <f t="shared" ref="C17:N17" si="7">C4*18.8%</f>
        <v>0</v>
      </c>
      <c r="D17" s="8">
        <f t="shared" si="7"/>
        <v>0</v>
      </c>
      <c r="E17" s="8">
        <f t="shared" si="7"/>
        <v>0</v>
      </c>
      <c r="F17" s="8">
        <f t="shared" si="7"/>
        <v>0</v>
      </c>
      <c r="G17" s="8"/>
      <c r="H17" s="8">
        <f t="shared" si="7"/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8"/>
      <c r="P17" s="9">
        <f>SUM(B17:O17)</f>
        <v>0</v>
      </c>
      <c r="Q17" s="10"/>
    </row>
    <row r="18" spans="1:17" s="11" customFormat="1" ht="19.899999999999999" customHeight="1" x14ac:dyDescent="0.3">
      <c r="A18" s="7" t="s">
        <v>21</v>
      </c>
      <c r="B18" s="8">
        <f>$O10/12</f>
        <v>0</v>
      </c>
      <c r="C18" s="8">
        <f t="shared" ref="C18:N18" si="8">$O10/12</f>
        <v>0</v>
      </c>
      <c r="D18" s="8">
        <f t="shared" si="8"/>
        <v>0</v>
      </c>
      <c r="E18" s="8">
        <f t="shared" si="8"/>
        <v>0</v>
      </c>
      <c r="F18" s="8">
        <f t="shared" si="8"/>
        <v>0</v>
      </c>
      <c r="G18" s="8"/>
      <c r="H18" s="8">
        <f t="shared" si="8"/>
        <v>0</v>
      </c>
      <c r="I18" s="8">
        <f t="shared" si="8"/>
        <v>0</v>
      </c>
      <c r="J18" s="8">
        <f t="shared" si="8"/>
        <v>0</v>
      </c>
      <c r="K18" s="8">
        <f t="shared" si="8"/>
        <v>0</v>
      </c>
      <c r="L18" s="8">
        <f t="shared" si="8"/>
        <v>0</v>
      </c>
      <c r="M18" s="8">
        <f t="shared" si="8"/>
        <v>0</v>
      </c>
      <c r="N18" s="8">
        <f t="shared" si="8"/>
        <v>0</v>
      </c>
      <c r="O18" s="8"/>
      <c r="P18" s="9">
        <f>SUM(B18:O18)</f>
        <v>0</v>
      </c>
      <c r="Q18" s="10"/>
    </row>
    <row r="20" spans="1:17" s="11" customFormat="1" ht="19.899999999999999" customHeight="1" x14ac:dyDescent="0.3">
      <c r="A20" s="7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>SUM(B20:O20)</f>
        <v>0</v>
      </c>
      <c r="Q20" s="10"/>
    </row>
    <row r="21" spans="1:17" x14ac:dyDescent="0.3">
      <c r="O21"/>
    </row>
    <row r="22" spans="1:17" x14ac:dyDescent="0.3">
      <c r="B22" s="1">
        <f t="shared" ref="B22:F22" si="9">B13/6.87</f>
        <v>0</v>
      </c>
      <c r="C22" s="1">
        <f t="shared" si="9"/>
        <v>0</v>
      </c>
      <c r="D22" s="1">
        <f t="shared" si="9"/>
        <v>0</v>
      </c>
      <c r="E22" s="1">
        <f t="shared" si="9"/>
        <v>0</v>
      </c>
      <c r="F22" s="1">
        <f t="shared" si="9"/>
        <v>0</v>
      </c>
      <c r="H22" s="1">
        <f>H13/6.87</f>
        <v>0</v>
      </c>
      <c r="I22" s="1">
        <f t="shared" ref="I22:N22" si="10">I13/6.87</f>
        <v>0</v>
      </c>
      <c r="J22" s="1">
        <f t="shared" si="10"/>
        <v>0</v>
      </c>
      <c r="K22" s="1">
        <f t="shared" si="10"/>
        <v>0</v>
      </c>
      <c r="L22" s="1">
        <f t="shared" si="10"/>
        <v>0</v>
      </c>
      <c r="M22" s="1">
        <f t="shared" si="10"/>
        <v>0</v>
      </c>
      <c r="N22" s="1">
        <f t="shared" si="10"/>
        <v>0</v>
      </c>
      <c r="O22" s="13"/>
      <c r="P22" s="2">
        <f>SUM(B22:O22)</f>
        <v>0</v>
      </c>
    </row>
    <row r="23" spans="1:17" ht="12.5" x14ac:dyDescent="0.25">
      <c r="P23" s="1"/>
    </row>
    <row r="24" spans="1:17" x14ac:dyDescent="0.3">
      <c r="O24"/>
    </row>
  </sheetData>
  <printOptions horizontalCentered="1"/>
  <pageMargins left="0.19652777777777777" right="0.19652777777777777" top="0.78749999999999998" bottom="1.2194444444444446" header="0.51180555555555562" footer="0.78749999999999998"/>
  <pageSetup paperSize="9" firstPageNumber="0" orientation="landscape" horizontalDpi="300" verticalDpi="300" r:id="rId1"/>
  <headerFooter alignWithMargins="0">
    <oddFooter xml:space="preserve">&amp;L&amp;"Times New Roman,Normal"&amp;9NOMSOCIETE&amp;C&amp;"Times New Roman,Normal"&amp;12Page &amp;P&amp;R&amp;"Times New Roman,Normal"&amp;12&amp;F
&amp;A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23" sqref="G23"/>
    </sheetView>
  </sheetViews>
  <sheetFormatPr defaultColWidth="10.81640625" defaultRowHeight="12.5" x14ac:dyDescent="0.25"/>
  <cols>
    <col min="1" max="1" width="4.54296875" customWidth="1"/>
    <col min="2" max="2" width="11.453125" style="61"/>
    <col min="3" max="3" width="4.453125" customWidth="1"/>
    <col min="4" max="4" width="11.453125" style="61"/>
  </cols>
  <sheetData>
    <row r="1" spans="1:9" x14ac:dyDescent="0.25">
      <c r="F1" t="s">
        <v>83</v>
      </c>
    </row>
    <row r="2" spans="1:9" x14ac:dyDescent="0.25">
      <c r="B2" s="62" t="s">
        <v>61</v>
      </c>
      <c r="C2" s="63"/>
      <c r="D2" s="62" t="s">
        <v>60</v>
      </c>
      <c r="G2" s="62" t="s">
        <v>61</v>
      </c>
      <c r="H2" s="63"/>
      <c r="I2" s="62" t="s">
        <v>60</v>
      </c>
    </row>
    <row r="3" spans="1:9" x14ac:dyDescent="0.25">
      <c r="B3" s="62">
        <v>4.47</v>
      </c>
      <c r="C3" s="63"/>
      <c r="D3" s="62">
        <v>1.1299999999999999</v>
      </c>
      <c r="G3" s="62">
        <v>6.87</v>
      </c>
      <c r="H3" s="63"/>
      <c r="I3" s="62">
        <v>1.1299999999999999</v>
      </c>
    </row>
    <row r="4" spans="1:9" x14ac:dyDescent="0.25">
      <c r="A4" s="64">
        <v>1</v>
      </c>
      <c r="B4" s="65">
        <f>A4*B$3</f>
        <v>4.47</v>
      </c>
      <c r="C4" s="64">
        <v>1</v>
      </c>
      <c r="D4" s="65">
        <f>A4*D$3</f>
        <v>1.1299999999999999</v>
      </c>
      <c r="F4" s="64">
        <v>1</v>
      </c>
      <c r="G4" s="65">
        <f>F4*G$3</f>
        <v>6.87</v>
      </c>
      <c r="H4" s="64">
        <v>1</v>
      </c>
      <c r="I4" s="65">
        <f>F4*I$3</f>
        <v>1.1299999999999999</v>
      </c>
    </row>
    <row r="5" spans="1:9" x14ac:dyDescent="0.25">
      <c r="A5" s="64">
        <v>2</v>
      </c>
      <c r="B5" s="65">
        <f t="shared" ref="B5:B27" si="0">A5*B$3</f>
        <v>8.94</v>
      </c>
      <c r="C5" s="64">
        <v>2</v>
      </c>
      <c r="D5" s="65">
        <f t="shared" ref="D5:D27" si="1">A5*D$3</f>
        <v>2.2599999999999998</v>
      </c>
      <c r="F5" s="64">
        <v>2</v>
      </c>
      <c r="G5" s="65">
        <f t="shared" ref="G5:G27" si="2">F5*G$3</f>
        <v>13.74</v>
      </c>
      <c r="H5" s="64">
        <v>2</v>
      </c>
      <c r="I5" s="65">
        <f t="shared" ref="I5:I27" si="3">F5*I$3</f>
        <v>2.2599999999999998</v>
      </c>
    </row>
    <row r="6" spans="1:9" x14ac:dyDescent="0.25">
      <c r="A6" s="64">
        <v>3</v>
      </c>
      <c r="B6" s="65">
        <f t="shared" si="0"/>
        <v>13.41</v>
      </c>
      <c r="C6" s="64">
        <v>3</v>
      </c>
      <c r="D6" s="65">
        <f t="shared" si="1"/>
        <v>3.39</v>
      </c>
      <c r="F6" s="64">
        <v>3</v>
      </c>
      <c r="G6" s="65">
        <f t="shared" si="2"/>
        <v>20.61</v>
      </c>
      <c r="H6" s="64">
        <v>3</v>
      </c>
      <c r="I6" s="65">
        <f t="shared" si="3"/>
        <v>3.39</v>
      </c>
    </row>
    <row r="7" spans="1:9" x14ac:dyDescent="0.25">
      <c r="A7" s="64">
        <v>4</v>
      </c>
      <c r="B7" s="65">
        <f t="shared" si="0"/>
        <v>17.88</v>
      </c>
      <c r="C7" s="64">
        <v>4</v>
      </c>
      <c r="D7" s="65">
        <f t="shared" si="1"/>
        <v>4.5199999999999996</v>
      </c>
      <c r="F7" s="64">
        <v>4</v>
      </c>
      <c r="G7" s="65">
        <f t="shared" si="2"/>
        <v>27.48</v>
      </c>
      <c r="H7" s="64">
        <v>4</v>
      </c>
      <c r="I7" s="65">
        <f t="shared" si="3"/>
        <v>4.5199999999999996</v>
      </c>
    </row>
    <row r="8" spans="1:9" x14ac:dyDescent="0.25">
      <c r="A8" s="64">
        <v>5</v>
      </c>
      <c r="B8" s="65">
        <f t="shared" si="0"/>
        <v>22.35</v>
      </c>
      <c r="C8" s="64">
        <v>5</v>
      </c>
      <c r="D8" s="65">
        <f t="shared" si="1"/>
        <v>5.65</v>
      </c>
      <c r="F8" s="64">
        <v>5</v>
      </c>
      <c r="G8" s="65">
        <f t="shared" si="2"/>
        <v>34.35</v>
      </c>
      <c r="H8" s="64">
        <v>5</v>
      </c>
      <c r="I8" s="65">
        <f t="shared" si="3"/>
        <v>5.65</v>
      </c>
    </row>
    <row r="9" spans="1:9" x14ac:dyDescent="0.25">
      <c r="A9" s="64">
        <v>6</v>
      </c>
      <c r="B9" s="65">
        <f t="shared" si="0"/>
        <v>26.82</v>
      </c>
      <c r="C9" s="64">
        <v>6</v>
      </c>
      <c r="D9" s="65">
        <f t="shared" si="1"/>
        <v>6.78</v>
      </c>
      <c r="F9" s="64">
        <v>6</v>
      </c>
      <c r="G9" s="65">
        <f t="shared" si="2"/>
        <v>41.22</v>
      </c>
      <c r="H9" s="64">
        <v>6</v>
      </c>
      <c r="I9" s="65">
        <f t="shared" si="3"/>
        <v>6.78</v>
      </c>
    </row>
    <row r="10" spans="1:9" x14ac:dyDescent="0.25">
      <c r="A10" s="64">
        <v>7</v>
      </c>
      <c r="B10" s="65">
        <f t="shared" si="0"/>
        <v>31.29</v>
      </c>
      <c r="C10" s="64">
        <v>7</v>
      </c>
      <c r="D10" s="65">
        <f t="shared" si="1"/>
        <v>7.91</v>
      </c>
      <c r="F10" s="64">
        <v>7</v>
      </c>
      <c r="G10" s="65">
        <f t="shared" si="2"/>
        <v>48.09</v>
      </c>
      <c r="H10" s="64">
        <v>7</v>
      </c>
      <c r="I10" s="65">
        <f t="shared" si="3"/>
        <v>7.91</v>
      </c>
    </row>
    <row r="11" spans="1:9" x14ac:dyDescent="0.25">
      <c r="A11" s="64">
        <v>8</v>
      </c>
      <c r="B11" s="65">
        <f t="shared" si="0"/>
        <v>35.76</v>
      </c>
      <c r="C11" s="64">
        <v>8</v>
      </c>
      <c r="D11" s="65">
        <f t="shared" si="1"/>
        <v>9.0399999999999991</v>
      </c>
      <c r="F11" s="64">
        <v>8</v>
      </c>
      <c r="G11" s="65">
        <f t="shared" si="2"/>
        <v>54.96</v>
      </c>
      <c r="H11" s="64">
        <v>8</v>
      </c>
      <c r="I11" s="65">
        <f t="shared" si="3"/>
        <v>9.0399999999999991</v>
      </c>
    </row>
    <row r="12" spans="1:9" x14ac:dyDescent="0.25">
      <c r="A12" s="64">
        <v>9</v>
      </c>
      <c r="B12" s="65">
        <f t="shared" si="0"/>
        <v>40.229999999999997</v>
      </c>
      <c r="C12" s="64">
        <v>9</v>
      </c>
      <c r="D12" s="65">
        <f t="shared" si="1"/>
        <v>10.17</v>
      </c>
      <c r="F12" s="64">
        <v>9</v>
      </c>
      <c r="G12" s="65">
        <f t="shared" si="2"/>
        <v>61.83</v>
      </c>
      <c r="H12" s="64">
        <v>9</v>
      </c>
      <c r="I12" s="65">
        <f t="shared" si="3"/>
        <v>10.17</v>
      </c>
    </row>
    <row r="13" spans="1:9" x14ac:dyDescent="0.25">
      <c r="A13" s="64">
        <v>10</v>
      </c>
      <c r="B13" s="65">
        <f t="shared" si="0"/>
        <v>44.7</v>
      </c>
      <c r="C13" s="64">
        <v>10</v>
      </c>
      <c r="D13" s="65">
        <f t="shared" si="1"/>
        <v>11.3</v>
      </c>
      <c r="F13" s="64">
        <v>10</v>
      </c>
      <c r="G13" s="65">
        <f t="shared" si="2"/>
        <v>68.7</v>
      </c>
      <c r="H13" s="64">
        <v>10</v>
      </c>
      <c r="I13" s="65">
        <f t="shared" si="3"/>
        <v>11.3</v>
      </c>
    </row>
    <row r="14" spans="1:9" x14ac:dyDescent="0.25">
      <c r="A14" s="64">
        <v>11</v>
      </c>
      <c r="B14" s="65">
        <f t="shared" si="0"/>
        <v>49.17</v>
      </c>
      <c r="C14" s="64">
        <v>11</v>
      </c>
      <c r="D14" s="65">
        <f t="shared" si="1"/>
        <v>12.43</v>
      </c>
      <c r="F14" s="64">
        <v>11</v>
      </c>
      <c r="G14" s="65">
        <f t="shared" si="2"/>
        <v>75.569999999999993</v>
      </c>
      <c r="H14" s="64">
        <v>11</v>
      </c>
      <c r="I14" s="65">
        <f t="shared" si="3"/>
        <v>12.43</v>
      </c>
    </row>
    <row r="15" spans="1:9" x14ac:dyDescent="0.25">
      <c r="A15" s="64">
        <v>12</v>
      </c>
      <c r="B15" s="65">
        <f t="shared" si="0"/>
        <v>53.64</v>
      </c>
      <c r="C15" s="64">
        <v>12</v>
      </c>
      <c r="D15" s="65">
        <f t="shared" si="1"/>
        <v>13.56</v>
      </c>
      <c r="F15" s="64">
        <v>12</v>
      </c>
      <c r="G15" s="65">
        <f t="shared" si="2"/>
        <v>82.44</v>
      </c>
      <c r="H15" s="64">
        <v>12</v>
      </c>
      <c r="I15" s="65">
        <f t="shared" si="3"/>
        <v>13.56</v>
      </c>
    </row>
    <row r="16" spans="1:9" x14ac:dyDescent="0.25">
      <c r="A16" s="64">
        <v>13</v>
      </c>
      <c r="B16" s="65">
        <f t="shared" si="0"/>
        <v>58.11</v>
      </c>
      <c r="C16" s="64">
        <v>13</v>
      </c>
      <c r="D16" s="65">
        <f t="shared" si="1"/>
        <v>14.69</v>
      </c>
      <c r="F16" s="64">
        <v>13</v>
      </c>
      <c r="G16" s="65">
        <f t="shared" si="2"/>
        <v>89.31</v>
      </c>
      <c r="H16" s="64">
        <v>13</v>
      </c>
      <c r="I16" s="65">
        <f t="shared" si="3"/>
        <v>14.69</v>
      </c>
    </row>
    <row r="17" spans="1:9" x14ac:dyDescent="0.25">
      <c r="A17" s="64">
        <v>14</v>
      </c>
      <c r="B17" s="65">
        <f t="shared" si="0"/>
        <v>62.58</v>
      </c>
      <c r="C17" s="64">
        <v>14</v>
      </c>
      <c r="D17" s="65">
        <f t="shared" si="1"/>
        <v>15.82</v>
      </c>
      <c r="F17" s="64">
        <v>14</v>
      </c>
      <c r="G17" s="65">
        <f t="shared" si="2"/>
        <v>96.18</v>
      </c>
      <c r="H17" s="64">
        <v>14</v>
      </c>
      <c r="I17" s="65">
        <f t="shared" si="3"/>
        <v>15.82</v>
      </c>
    </row>
    <row r="18" spans="1:9" x14ac:dyDescent="0.25">
      <c r="A18" s="64">
        <v>15</v>
      </c>
      <c r="B18" s="65">
        <f t="shared" si="0"/>
        <v>67.05</v>
      </c>
      <c r="C18" s="64">
        <v>15</v>
      </c>
      <c r="D18" s="65">
        <f t="shared" si="1"/>
        <v>16.95</v>
      </c>
      <c r="F18" s="64">
        <v>15</v>
      </c>
      <c r="G18" s="65">
        <f t="shared" si="2"/>
        <v>103.05</v>
      </c>
      <c r="H18" s="64">
        <v>15</v>
      </c>
      <c r="I18" s="65">
        <f t="shared" si="3"/>
        <v>16.95</v>
      </c>
    </row>
    <row r="19" spans="1:9" x14ac:dyDescent="0.25">
      <c r="A19" s="64">
        <v>16</v>
      </c>
      <c r="B19" s="65">
        <f t="shared" si="0"/>
        <v>71.52</v>
      </c>
      <c r="C19" s="64">
        <v>16</v>
      </c>
      <c r="D19" s="65">
        <f t="shared" si="1"/>
        <v>18.079999999999998</v>
      </c>
      <c r="F19" s="64">
        <v>16</v>
      </c>
      <c r="G19" s="65">
        <f t="shared" si="2"/>
        <v>109.92</v>
      </c>
      <c r="H19" s="64">
        <v>16</v>
      </c>
      <c r="I19" s="65">
        <f t="shared" si="3"/>
        <v>18.079999999999998</v>
      </c>
    </row>
    <row r="20" spans="1:9" x14ac:dyDescent="0.25">
      <c r="A20" s="64">
        <v>17</v>
      </c>
      <c r="B20" s="65">
        <f t="shared" si="0"/>
        <v>75.989999999999995</v>
      </c>
      <c r="C20" s="64">
        <v>17</v>
      </c>
      <c r="D20" s="65">
        <f t="shared" si="1"/>
        <v>19.21</v>
      </c>
      <c r="F20" s="64">
        <v>17</v>
      </c>
      <c r="G20" s="65">
        <f t="shared" si="2"/>
        <v>116.79</v>
      </c>
      <c r="H20" s="64">
        <v>17</v>
      </c>
      <c r="I20" s="65">
        <f t="shared" si="3"/>
        <v>19.21</v>
      </c>
    </row>
    <row r="21" spans="1:9" x14ac:dyDescent="0.25">
      <c r="A21" s="64">
        <v>18</v>
      </c>
      <c r="B21" s="65">
        <f t="shared" si="0"/>
        <v>80.459999999999994</v>
      </c>
      <c r="C21" s="64">
        <v>18</v>
      </c>
      <c r="D21" s="65">
        <f t="shared" si="1"/>
        <v>20.34</v>
      </c>
      <c r="F21" s="64">
        <v>18</v>
      </c>
      <c r="G21" s="65">
        <f t="shared" si="2"/>
        <v>123.66</v>
      </c>
      <c r="H21" s="64">
        <v>18</v>
      </c>
      <c r="I21" s="65">
        <f t="shared" si="3"/>
        <v>20.34</v>
      </c>
    </row>
    <row r="22" spans="1:9" x14ac:dyDescent="0.25">
      <c r="A22" s="64">
        <v>19</v>
      </c>
      <c r="B22" s="65">
        <f t="shared" si="0"/>
        <v>84.93</v>
      </c>
      <c r="C22" s="64">
        <v>19</v>
      </c>
      <c r="D22" s="65">
        <f t="shared" si="1"/>
        <v>21.47</v>
      </c>
      <c r="F22" s="64">
        <v>19</v>
      </c>
      <c r="G22" s="65">
        <f t="shared" si="2"/>
        <v>130.53</v>
      </c>
      <c r="H22" s="64">
        <v>19</v>
      </c>
      <c r="I22" s="65">
        <f t="shared" si="3"/>
        <v>21.47</v>
      </c>
    </row>
    <row r="23" spans="1:9" x14ac:dyDescent="0.25">
      <c r="A23" s="64">
        <v>20</v>
      </c>
      <c r="B23" s="65">
        <f t="shared" si="0"/>
        <v>89.4</v>
      </c>
      <c r="C23" s="64">
        <v>20</v>
      </c>
      <c r="D23" s="65">
        <f t="shared" si="1"/>
        <v>22.6</v>
      </c>
      <c r="F23" s="64">
        <v>20</v>
      </c>
      <c r="G23" s="65">
        <f t="shared" si="2"/>
        <v>137.4</v>
      </c>
      <c r="H23" s="64">
        <v>20</v>
      </c>
      <c r="I23" s="65">
        <f t="shared" si="3"/>
        <v>22.6</v>
      </c>
    </row>
    <row r="24" spans="1:9" x14ac:dyDescent="0.25">
      <c r="A24" s="64">
        <v>21</v>
      </c>
      <c r="B24" s="65">
        <f t="shared" si="0"/>
        <v>93.87</v>
      </c>
      <c r="C24" s="64">
        <v>21</v>
      </c>
      <c r="D24" s="65">
        <f t="shared" si="1"/>
        <v>23.73</v>
      </c>
      <c r="F24" s="64">
        <v>21</v>
      </c>
      <c r="G24" s="65">
        <f t="shared" si="2"/>
        <v>144.27000000000001</v>
      </c>
      <c r="H24" s="64">
        <v>21</v>
      </c>
      <c r="I24" s="65">
        <f t="shared" si="3"/>
        <v>23.73</v>
      </c>
    </row>
    <row r="25" spans="1:9" x14ac:dyDescent="0.25">
      <c r="A25" s="64">
        <v>22</v>
      </c>
      <c r="B25" s="65">
        <f t="shared" si="0"/>
        <v>98.34</v>
      </c>
      <c r="C25" s="64">
        <v>22</v>
      </c>
      <c r="D25" s="65">
        <f t="shared" si="1"/>
        <v>24.86</v>
      </c>
      <c r="F25" s="64">
        <v>22</v>
      </c>
      <c r="G25" s="65">
        <f t="shared" si="2"/>
        <v>151.13999999999999</v>
      </c>
      <c r="H25" s="64">
        <v>22</v>
      </c>
      <c r="I25" s="65">
        <f t="shared" si="3"/>
        <v>24.86</v>
      </c>
    </row>
    <row r="26" spans="1:9" x14ac:dyDescent="0.25">
      <c r="A26" s="64">
        <v>23</v>
      </c>
      <c r="B26" s="65">
        <f t="shared" si="0"/>
        <v>102.81</v>
      </c>
      <c r="C26" s="64">
        <v>23</v>
      </c>
      <c r="D26" s="65">
        <f t="shared" si="1"/>
        <v>25.99</v>
      </c>
      <c r="F26" s="64">
        <v>23</v>
      </c>
      <c r="G26" s="65">
        <f t="shared" si="2"/>
        <v>158.01</v>
      </c>
      <c r="H26" s="64">
        <v>23</v>
      </c>
      <c r="I26" s="65">
        <f t="shared" si="3"/>
        <v>25.99</v>
      </c>
    </row>
    <row r="27" spans="1:9" x14ac:dyDescent="0.25">
      <c r="A27" s="64">
        <v>24</v>
      </c>
      <c r="B27" s="65">
        <f t="shared" si="0"/>
        <v>107.28</v>
      </c>
      <c r="C27" s="64">
        <v>24</v>
      </c>
      <c r="D27" s="65">
        <f t="shared" si="1"/>
        <v>27.12</v>
      </c>
      <c r="F27" s="64">
        <v>24</v>
      </c>
      <c r="G27" s="65">
        <f t="shared" si="2"/>
        <v>164.88</v>
      </c>
      <c r="H27" s="64">
        <v>24</v>
      </c>
      <c r="I27" s="65">
        <f t="shared" si="3"/>
        <v>27.12</v>
      </c>
    </row>
    <row r="30" spans="1:9" x14ac:dyDescent="0.25">
      <c r="D30" s="61">
        <f>192.1/1.13</f>
        <v>170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workbookViewId="0">
      <selection activeCell="B28" sqref="B28:J29"/>
    </sheetView>
  </sheetViews>
  <sheetFormatPr defaultColWidth="11.453125" defaultRowHeight="13" x14ac:dyDescent="0.3"/>
  <cols>
    <col min="1" max="1" width="27.453125" style="34" customWidth="1"/>
    <col min="2" max="16384" width="11.453125" style="34"/>
  </cols>
  <sheetData>
    <row r="1" spans="1:17" s="88" customFormat="1" ht="15.5" x14ac:dyDescent="0.35">
      <c r="A1" s="88" t="s">
        <v>77</v>
      </c>
      <c r="B1" s="88">
        <v>1</v>
      </c>
      <c r="C1" s="88">
        <v>2</v>
      </c>
      <c r="D1" s="88">
        <v>3</v>
      </c>
      <c r="E1" s="88">
        <v>4</v>
      </c>
      <c r="F1" s="88">
        <v>5</v>
      </c>
      <c r="G1" s="88">
        <v>6</v>
      </c>
      <c r="H1" s="88">
        <v>7</v>
      </c>
      <c r="I1" s="88">
        <v>8</v>
      </c>
      <c r="J1" s="88">
        <v>9</v>
      </c>
      <c r="K1" s="88">
        <v>10</v>
      </c>
      <c r="L1" s="88">
        <v>11</v>
      </c>
      <c r="M1" s="88">
        <v>12</v>
      </c>
      <c r="N1" s="102" t="s">
        <v>70</v>
      </c>
      <c r="Q1" s="108" t="s">
        <v>68</v>
      </c>
    </row>
    <row r="2" spans="1:17" x14ac:dyDescent="0.3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Q2" s="103"/>
    </row>
    <row r="3" spans="1:17" x14ac:dyDescent="0.3">
      <c r="A3" s="34" t="s">
        <v>38</v>
      </c>
      <c r="B3" s="83">
        <v>198.26</v>
      </c>
      <c r="C3" s="83">
        <v>198.26</v>
      </c>
      <c r="D3" s="83">
        <v>198.26</v>
      </c>
      <c r="E3" s="83">
        <v>198.26</v>
      </c>
      <c r="F3" s="83">
        <v>198.26</v>
      </c>
      <c r="G3" s="83">
        <v>198.26</v>
      </c>
      <c r="H3" s="83">
        <v>198.26</v>
      </c>
      <c r="I3" s="83">
        <v>198.26</v>
      </c>
      <c r="J3" s="83">
        <v>198.26</v>
      </c>
      <c r="K3" s="83">
        <v>198.26</v>
      </c>
      <c r="L3" s="83">
        <v>198.26</v>
      </c>
      <c r="M3" s="83">
        <v>198.26</v>
      </c>
      <c r="N3" s="83">
        <v>198.26</v>
      </c>
      <c r="P3" s="34">
        <v>131.05000000000001</v>
      </c>
      <c r="Q3" s="103">
        <f>16.14*12</f>
        <v>193.68</v>
      </c>
    </row>
    <row r="4" spans="1:17" x14ac:dyDescent="0.3">
      <c r="A4" s="34" t="s">
        <v>41</v>
      </c>
      <c r="B4" s="83">
        <v>131.05000000000001</v>
      </c>
      <c r="C4" s="83">
        <v>131.05000000000001</v>
      </c>
      <c r="D4" s="83">
        <v>131.05000000000001</v>
      </c>
      <c r="E4" s="186">
        <f>3770*3.5%</f>
        <v>131.94999999999999</v>
      </c>
      <c r="F4" s="185">
        <f t="shared" ref="F4:N4" si="0">3770*3.5%</f>
        <v>131.94999999999999</v>
      </c>
      <c r="G4" s="185">
        <f t="shared" si="0"/>
        <v>131.94999999999999</v>
      </c>
      <c r="H4" s="185">
        <f t="shared" si="0"/>
        <v>131.94999999999999</v>
      </c>
      <c r="I4" s="185">
        <f t="shared" si="0"/>
        <v>131.94999999999999</v>
      </c>
      <c r="J4" s="185">
        <f t="shared" si="0"/>
        <v>131.94999999999999</v>
      </c>
      <c r="K4" s="185">
        <f t="shared" si="0"/>
        <v>131.94999999999999</v>
      </c>
      <c r="L4" s="185">
        <f t="shared" si="0"/>
        <v>131.94999999999999</v>
      </c>
      <c r="M4" s="185">
        <f t="shared" si="0"/>
        <v>131.94999999999999</v>
      </c>
      <c r="N4" s="185">
        <f t="shared" si="0"/>
        <v>131.94999999999999</v>
      </c>
      <c r="P4" s="34">
        <v>198.26</v>
      </c>
      <c r="Q4" s="103">
        <f>10.68*12</f>
        <v>128.16</v>
      </c>
    </row>
    <row r="5" spans="1:17" s="78" customFormat="1" x14ac:dyDescent="0.3">
      <c r="A5" s="78" t="s">
        <v>39</v>
      </c>
      <c r="B5" s="85">
        <v>144.55000000000001</v>
      </c>
      <c r="C5" s="85">
        <v>144.55000000000001</v>
      </c>
      <c r="D5" s="85">
        <v>144.55000000000001</v>
      </c>
      <c r="E5" s="85">
        <v>144.55000000000001</v>
      </c>
      <c r="F5" s="85">
        <v>144.55000000000001</v>
      </c>
      <c r="G5" s="85">
        <v>144.55000000000001</v>
      </c>
      <c r="H5" s="85">
        <v>144.55000000000001</v>
      </c>
      <c r="I5" s="85">
        <v>144.55000000000001</v>
      </c>
      <c r="J5" s="85">
        <v>144.55000000000001</v>
      </c>
      <c r="K5" s="85">
        <v>144.55000000000001</v>
      </c>
      <c r="L5" s="85">
        <v>144.55000000000001</v>
      </c>
      <c r="M5" s="85">
        <v>144.55000000000001</v>
      </c>
      <c r="N5" s="85">
        <v>144.55000000000001</v>
      </c>
      <c r="P5" s="78">
        <v>144.55000000000001</v>
      </c>
      <c r="Q5" s="103">
        <f>11.75*12</f>
        <v>141</v>
      </c>
    </row>
    <row r="6" spans="1:17" x14ac:dyDescent="0.3">
      <c r="A6" s="34" t="s">
        <v>47</v>
      </c>
      <c r="B6" s="83">
        <v>112.7</v>
      </c>
      <c r="C6" s="83">
        <v>112.7</v>
      </c>
      <c r="D6" s="83">
        <v>112.7</v>
      </c>
      <c r="E6" s="184">
        <f>3400*3.5%</f>
        <v>119</v>
      </c>
      <c r="F6" s="83">
        <f t="shared" ref="F6:N6" si="1">3400*3.5%</f>
        <v>119</v>
      </c>
      <c r="G6" s="83">
        <f t="shared" si="1"/>
        <v>119</v>
      </c>
      <c r="H6" s="83">
        <f t="shared" si="1"/>
        <v>119</v>
      </c>
      <c r="I6" s="83">
        <f t="shared" si="1"/>
        <v>119</v>
      </c>
      <c r="J6" s="83">
        <f t="shared" si="1"/>
        <v>119</v>
      </c>
      <c r="K6" s="83">
        <f t="shared" si="1"/>
        <v>119</v>
      </c>
      <c r="L6" s="83">
        <f t="shared" si="1"/>
        <v>119</v>
      </c>
      <c r="M6" s="83">
        <f t="shared" si="1"/>
        <v>119</v>
      </c>
      <c r="N6" s="83">
        <f t="shared" si="1"/>
        <v>119</v>
      </c>
      <c r="P6" s="34">
        <v>112.7</v>
      </c>
      <c r="Q6" s="103">
        <f>9.1*12</f>
        <v>109.2</v>
      </c>
    </row>
    <row r="7" spans="1:17" x14ac:dyDescent="0.3">
      <c r="A7" s="34" t="s">
        <v>64</v>
      </c>
      <c r="B7" s="83">
        <v>161.69999999999999</v>
      </c>
      <c r="C7" s="83">
        <v>161.69999999999999</v>
      </c>
      <c r="D7" s="83">
        <v>161.69999999999999</v>
      </c>
      <c r="E7" s="83">
        <v>161.69999999999999</v>
      </c>
      <c r="F7" s="83">
        <v>161.69999999999999</v>
      </c>
      <c r="G7" s="83">
        <v>161.69999999999999</v>
      </c>
      <c r="H7" s="83">
        <v>161.69999999999999</v>
      </c>
      <c r="I7" s="83">
        <v>161.69999999999999</v>
      </c>
      <c r="J7" s="83">
        <v>161.69999999999999</v>
      </c>
      <c r="K7" s="83">
        <v>161.69999999999999</v>
      </c>
      <c r="L7" s="83">
        <v>161.69999999999999</v>
      </c>
      <c r="M7" s="83">
        <v>161.69999999999999</v>
      </c>
      <c r="N7" s="83">
        <v>161.69999999999999</v>
      </c>
      <c r="P7" s="34">
        <v>161.69999999999999</v>
      </c>
      <c r="Q7" s="103">
        <f>12.55*12</f>
        <v>150.6</v>
      </c>
    </row>
    <row r="8" spans="1:17" x14ac:dyDescent="0.3">
      <c r="A8" s="34" t="s">
        <v>65</v>
      </c>
      <c r="B8" s="83">
        <v>106.39</v>
      </c>
      <c r="C8" s="83">
        <v>106.39</v>
      </c>
      <c r="D8" s="83">
        <v>106.39</v>
      </c>
      <c r="E8" s="83">
        <v>106.39</v>
      </c>
      <c r="F8" s="83">
        <v>106.39</v>
      </c>
      <c r="G8" s="83">
        <v>106.39</v>
      </c>
      <c r="H8" s="83">
        <v>106.39</v>
      </c>
      <c r="I8" s="83">
        <v>106.39</v>
      </c>
      <c r="J8" s="83">
        <v>106.39</v>
      </c>
      <c r="K8" s="83">
        <v>106.39</v>
      </c>
      <c r="L8" s="83">
        <v>106.39</v>
      </c>
      <c r="M8" s="83">
        <v>106.39</v>
      </c>
      <c r="N8" s="83">
        <v>106.39</v>
      </c>
      <c r="P8" s="34">
        <v>106.39</v>
      </c>
      <c r="Q8" s="103">
        <f>5.91*12</f>
        <v>70.92</v>
      </c>
    </row>
    <row r="9" spans="1:17" x14ac:dyDescent="0.3">
      <c r="A9" s="34" t="s">
        <v>66</v>
      </c>
      <c r="B9" s="83">
        <v>107.59</v>
      </c>
      <c r="C9" s="83">
        <v>107.59</v>
      </c>
      <c r="D9" s="83">
        <v>107.59</v>
      </c>
      <c r="E9" s="83">
        <v>107.59</v>
      </c>
      <c r="F9" s="83">
        <v>107.59</v>
      </c>
      <c r="G9" s="184">
        <v>115.5</v>
      </c>
      <c r="H9" s="83">
        <v>115.5</v>
      </c>
      <c r="I9" s="83">
        <v>115.5</v>
      </c>
      <c r="J9" s="83">
        <v>115.5</v>
      </c>
      <c r="K9" s="83">
        <v>115.5</v>
      </c>
      <c r="L9" s="83">
        <v>115.5</v>
      </c>
      <c r="M9" s="83">
        <v>115.5</v>
      </c>
      <c r="N9" s="83">
        <v>115.5</v>
      </c>
      <c r="P9" s="34">
        <v>107.59</v>
      </c>
      <c r="Q9" s="103">
        <f>8.8*12</f>
        <v>105.6</v>
      </c>
    </row>
    <row r="10" spans="1:17" x14ac:dyDescent="0.3">
      <c r="A10" s="34" t="s">
        <v>82</v>
      </c>
      <c r="B10" s="83">
        <v>107.59</v>
      </c>
      <c r="C10" s="83">
        <v>107.59</v>
      </c>
      <c r="D10" s="83">
        <v>107.59</v>
      </c>
      <c r="E10" s="83">
        <v>107.59</v>
      </c>
      <c r="F10" s="83">
        <v>107.59</v>
      </c>
      <c r="G10" s="83">
        <v>107.59</v>
      </c>
      <c r="H10" s="83">
        <v>107.59</v>
      </c>
      <c r="I10" s="184">
        <f>3300*3.5%</f>
        <v>115.5</v>
      </c>
      <c r="J10" s="83">
        <f t="shared" ref="J10:N10" si="2">3300*3.5%</f>
        <v>115.5</v>
      </c>
      <c r="K10" s="83">
        <f t="shared" si="2"/>
        <v>115.5</v>
      </c>
      <c r="L10" s="83">
        <f t="shared" si="2"/>
        <v>115.5</v>
      </c>
      <c r="M10" s="83">
        <f t="shared" si="2"/>
        <v>115.5</v>
      </c>
      <c r="N10" s="83">
        <f t="shared" si="2"/>
        <v>115.5</v>
      </c>
      <c r="P10" s="34">
        <v>107.59</v>
      </c>
      <c r="Q10" s="103">
        <f>8.8*12</f>
        <v>105.6</v>
      </c>
    </row>
    <row r="11" spans="1:17" x14ac:dyDescent="0.3">
      <c r="A11" s="34" t="s">
        <v>108</v>
      </c>
      <c r="B11" s="83">
        <v>71.400000000000006</v>
      </c>
      <c r="C11" s="83">
        <v>71.400000000000006</v>
      </c>
      <c r="D11" s="83">
        <v>71.400000000000006</v>
      </c>
      <c r="E11" s="83">
        <v>71.400000000000006</v>
      </c>
      <c r="F11" s="83">
        <v>71.400000000000006</v>
      </c>
      <c r="G11" s="83">
        <v>71.400000000000006</v>
      </c>
      <c r="H11" s="83">
        <v>71.400000000000006</v>
      </c>
      <c r="I11" s="83">
        <v>71.400000000000006</v>
      </c>
      <c r="J11" s="83">
        <v>71.400000000000006</v>
      </c>
      <c r="K11" s="83">
        <v>71.400000000000006</v>
      </c>
      <c r="L11" s="83">
        <v>71.400000000000006</v>
      </c>
      <c r="M11" s="83">
        <v>71.400000000000006</v>
      </c>
      <c r="N11" s="83">
        <v>71.400000000000006</v>
      </c>
      <c r="P11" s="34">
        <v>71.400000000000006</v>
      </c>
      <c r="Q11" s="173">
        <f>5.91*3/5*12</f>
        <v>42.55</v>
      </c>
    </row>
    <row r="12" spans="1:17" x14ac:dyDescent="0.3">
      <c r="A12" s="34" t="s">
        <v>113</v>
      </c>
      <c r="B12" s="83">
        <v>62.48</v>
      </c>
      <c r="C12" s="83">
        <v>62.48</v>
      </c>
      <c r="D12" s="83">
        <v>62.48</v>
      </c>
      <c r="E12" s="83">
        <v>62.48</v>
      </c>
      <c r="F12" s="83">
        <v>62.48</v>
      </c>
      <c r="G12" s="83">
        <v>62.48</v>
      </c>
      <c r="H12" s="83">
        <v>62.48</v>
      </c>
      <c r="I12" s="83">
        <v>62.48</v>
      </c>
      <c r="J12" s="83">
        <v>62.48</v>
      </c>
      <c r="K12" s="83">
        <v>62.48</v>
      </c>
      <c r="L12" s="83">
        <v>62.48</v>
      </c>
      <c r="M12" s="83">
        <v>62.48</v>
      </c>
      <c r="N12" s="83">
        <v>62.48</v>
      </c>
      <c r="P12" s="34">
        <v>62.48</v>
      </c>
      <c r="Q12" s="173">
        <f t="shared" ref="Q12:Q13" si="3">5.91*3/5*12</f>
        <v>42.55</v>
      </c>
    </row>
    <row r="13" spans="1:17" x14ac:dyDescent="0.3">
      <c r="A13" s="34" t="s">
        <v>98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34">
        <v>0</v>
      </c>
      <c r="Q13" s="173">
        <f t="shared" si="3"/>
        <v>42.55</v>
      </c>
    </row>
    <row r="14" spans="1:17" s="77" customFormat="1" x14ac:dyDescent="0.3">
      <c r="B14" s="122">
        <f t="shared" ref="B14:N14" si="4">SUM(B4:B13)</f>
        <v>1005.45</v>
      </c>
      <c r="C14" s="122">
        <f t="shared" si="4"/>
        <v>1005.45</v>
      </c>
      <c r="D14" s="122">
        <f t="shared" si="4"/>
        <v>1005.45</v>
      </c>
      <c r="E14" s="122">
        <f t="shared" si="4"/>
        <v>1012.65</v>
      </c>
      <c r="F14" s="122">
        <f t="shared" si="4"/>
        <v>1012.65</v>
      </c>
      <c r="G14" s="122">
        <f t="shared" si="4"/>
        <v>1020.56</v>
      </c>
      <c r="H14" s="122">
        <f t="shared" si="4"/>
        <v>1020.56</v>
      </c>
      <c r="I14" s="122">
        <f t="shared" si="4"/>
        <v>1028.47</v>
      </c>
      <c r="J14" s="122">
        <f t="shared" si="4"/>
        <v>1028.47</v>
      </c>
      <c r="K14" s="122">
        <f t="shared" si="4"/>
        <v>1028.47</v>
      </c>
      <c r="L14" s="86">
        <f t="shared" si="4"/>
        <v>1028.47</v>
      </c>
      <c r="M14" s="86">
        <f t="shared" si="4"/>
        <v>1028.47</v>
      </c>
      <c r="N14" s="86">
        <f t="shared" si="4"/>
        <v>1028.47</v>
      </c>
      <c r="P14" s="34"/>
      <c r="Q14" s="109">
        <f>SUM(Q4:Q13)</f>
        <v>938.73</v>
      </c>
    </row>
    <row r="15" spans="1:17" x14ac:dyDescent="0.3">
      <c r="J15" s="83"/>
      <c r="M15" s="83"/>
      <c r="Q15" s="103" t="s">
        <v>69</v>
      </c>
    </row>
    <row r="18" spans="1:19" ht="15.5" x14ac:dyDescent="0.35">
      <c r="A18" s="88" t="s">
        <v>78</v>
      </c>
      <c r="B18" s="88">
        <v>1</v>
      </c>
      <c r="C18" s="88">
        <v>2</v>
      </c>
      <c r="D18" s="88">
        <v>3</v>
      </c>
      <c r="E18" s="88">
        <v>4</v>
      </c>
      <c r="F18" s="88">
        <v>5</v>
      </c>
      <c r="G18" s="88">
        <v>6</v>
      </c>
      <c r="H18" s="88">
        <v>7</v>
      </c>
      <c r="I18" s="88">
        <v>8</v>
      </c>
      <c r="J18" s="88">
        <v>9</v>
      </c>
      <c r="K18" s="88">
        <v>10</v>
      </c>
      <c r="L18" s="88">
        <v>11</v>
      </c>
      <c r="M18" s="88">
        <v>12</v>
      </c>
      <c r="N18" s="101" t="s">
        <v>70</v>
      </c>
      <c r="Q18" s="104" t="s">
        <v>71</v>
      </c>
      <c r="R18" s="105" t="s">
        <v>72</v>
      </c>
    </row>
    <row r="19" spans="1:19" x14ac:dyDescent="0.3">
      <c r="Q19" s="106">
        <v>23.22</v>
      </c>
      <c r="R19" s="107">
        <v>7.96</v>
      </c>
    </row>
    <row r="20" spans="1:19" x14ac:dyDescent="0.3">
      <c r="A20" s="34" t="s">
        <v>38</v>
      </c>
      <c r="B20" s="34">
        <f t="shared" ref="B20:J27" si="5">$Q20*$Q$19+$R20*$R$19</f>
        <v>70.319999999999993</v>
      </c>
      <c r="C20" s="34">
        <f t="shared" si="5"/>
        <v>70.319999999999993</v>
      </c>
      <c r="D20" s="34">
        <f t="shared" si="5"/>
        <v>70.319999999999993</v>
      </c>
      <c r="E20" s="34">
        <f t="shared" si="5"/>
        <v>70.319999999999993</v>
      </c>
      <c r="F20" s="34">
        <f t="shared" si="5"/>
        <v>70.319999999999993</v>
      </c>
      <c r="G20" s="34">
        <f t="shared" ref="G20:M25" si="6">$Q20*$Q$19+$R20*$R$19</f>
        <v>70.319999999999993</v>
      </c>
      <c r="H20" s="34">
        <f t="shared" si="6"/>
        <v>70.319999999999993</v>
      </c>
      <c r="I20" s="34">
        <f t="shared" si="6"/>
        <v>70.319999999999993</v>
      </c>
      <c r="J20" s="34">
        <f t="shared" si="6"/>
        <v>70.319999999999993</v>
      </c>
      <c r="K20" s="34">
        <f t="shared" si="6"/>
        <v>70.319999999999993</v>
      </c>
      <c r="L20" s="34">
        <f t="shared" si="6"/>
        <v>70.319999999999993</v>
      </c>
      <c r="M20" s="34">
        <f t="shared" si="6"/>
        <v>70.319999999999993</v>
      </c>
      <c r="N20" s="84">
        <f t="shared" ref="N20:N27" si="7">SUM(B20:M20)</f>
        <v>843.84</v>
      </c>
      <c r="Q20" s="103">
        <v>2</v>
      </c>
      <c r="R20" s="103">
        <v>3</v>
      </c>
    </row>
    <row r="21" spans="1:19" x14ac:dyDescent="0.3">
      <c r="A21" s="34" t="s">
        <v>41</v>
      </c>
      <c r="B21" s="34">
        <f t="shared" si="5"/>
        <v>39.14</v>
      </c>
      <c r="C21" s="34">
        <f t="shared" si="5"/>
        <v>39.14</v>
      </c>
      <c r="D21" s="34">
        <f t="shared" si="5"/>
        <v>39.14</v>
      </c>
      <c r="E21" s="34">
        <f t="shared" si="5"/>
        <v>39.14</v>
      </c>
      <c r="F21" s="34">
        <f t="shared" si="5"/>
        <v>39.14</v>
      </c>
      <c r="G21" s="34">
        <f t="shared" si="6"/>
        <v>39.14</v>
      </c>
      <c r="H21" s="34">
        <f t="shared" si="6"/>
        <v>39.14</v>
      </c>
      <c r="I21" s="34">
        <f t="shared" si="6"/>
        <v>39.14</v>
      </c>
      <c r="J21" s="34">
        <f t="shared" si="6"/>
        <v>39.14</v>
      </c>
      <c r="K21" s="34">
        <f t="shared" si="6"/>
        <v>39.14</v>
      </c>
      <c r="L21" s="34">
        <f t="shared" si="6"/>
        <v>39.14</v>
      </c>
      <c r="M21" s="34">
        <f t="shared" si="6"/>
        <v>39.14</v>
      </c>
      <c r="N21" s="84">
        <f t="shared" si="7"/>
        <v>469.68</v>
      </c>
      <c r="Q21" s="103">
        <v>1</v>
      </c>
      <c r="R21" s="103">
        <v>2</v>
      </c>
    </row>
    <row r="22" spans="1:19" x14ac:dyDescent="0.3">
      <c r="A22" s="34" t="s">
        <v>39</v>
      </c>
      <c r="B22" s="34">
        <f t="shared" si="5"/>
        <v>62.36</v>
      </c>
      <c r="C22" s="34">
        <f t="shared" si="5"/>
        <v>62.36</v>
      </c>
      <c r="D22" s="34">
        <f t="shared" si="5"/>
        <v>62.36</v>
      </c>
      <c r="E22" s="34">
        <f t="shared" si="5"/>
        <v>62.36</v>
      </c>
      <c r="F22" s="34">
        <f t="shared" si="5"/>
        <v>62.36</v>
      </c>
      <c r="G22" s="34">
        <f t="shared" si="6"/>
        <v>62.36</v>
      </c>
      <c r="H22" s="34">
        <f t="shared" si="6"/>
        <v>62.36</v>
      </c>
      <c r="I22" s="34">
        <f t="shared" si="6"/>
        <v>62.36</v>
      </c>
      <c r="J22" s="34">
        <f t="shared" si="6"/>
        <v>62.36</v>
      </c>
      <c r="K22" s="34">
        <f t="shared" si="6"/>
        <v>62.36</v>
      </c>
      <c r="L22" s="34">
        <f t="shared" si="6"/>
        <v>62.36</v>
      </c>
      <c r="M22" s="34">
        <f t="shared" si="6"/>
        <v>62.36</v>
      </c>
      <c r="N22" s="84">
        <f t="shared" si="7"/>
        <v>748.32</v>
      </c>
      <c r="Q22" s="103">
        <v>2</v>
      </c>
      <c r="R22" s="103">
        <v>2</v>
      </c>
    </row>
    <row r="23" spans="1:19" x14ac:dyDescent="0.3">
      <c r="A23" s="34" t="s">
        <v>47</v>
      </c>
      <c r="B23" s="34">
        <f t="shared" si="5"/>
        <v>46.44</v>
      </c>
      <c r="C23" s="34">
        <f t="shared" si="5"/>
        <v>46.44</v>
      </c>
      <c r="D23" s="34">
        <f t="shared" si="5"/>
        <v>46.44</v>
      </c>
      <c r="E23" s="34">
        <f t="shared" si="5"/>
        <v>46.44</v>
      </c>
      <c r="F23" s="34">
        <f t="shared" si="5"/>
        <v>46.44</v>
      </c>
      <c r="G23" s="34">
        <f t="shared" si="6"/>
        <v>46.44</v>
      </c>
      <c r="H23" s="34">
        <f t="shared" si="6"/>
        <v>46.44</v>
      </c>
      <c r="I23" s="34">
        <f t="shared" si="6"/>
        <v>46.44</v>
      </c>
      <c r="J23" s="34">
        <f t="shared" si="6"/>
        <v>46.44</v>
      </c>
      <c r="K23" s="34">
        <f t="shared" si="6"/>
        <v>46.44</v>
      </c>
      <c r="L23" s="34">
        <f t="shared" si="6"/>
        <v>46.44</v>
      </c>
      <c r="M23" s="34">
        <f t="shared" si="6"/>
        <v>46.44</v>
      </c>
      <c r="N23" s="84">
        <f t="shared" si="7"/>
        <v>557.28</v>
      </c>
      <c r="Q23" s="103">
        <v>2</v>
      </c>
      <c r="R23" s="103"/>
    </row>
    <row r="24" spans="1:19" x14ac:dyDescent="0.3">
      <c r="A24" s="34" t="s">
        <v>64</v>
      </c>
      <c r="B24" s="34">
        <f t="shared" si="5"/>
        <v>23.22</v>
      </c>
      <c r="C24" s="34">
        <f t="shared" si="5"/>
        <v>23.22</v>
      </c>
      <c r="D24" s="34">
        <f t="shared" si="5"/>
        <v>23.22</v>
      </c>
      <c r="E24" s="34">
        <f t="shared" si="5"/>
        <v>23.22</v>
      </c>
      <c r="F24" s="34">
        <f t="shared" si="5"/>
        <v>23.22</v>
      </c>
      <c r="G24" s="34">
        <f t="shared" si="6"/>
        <v>23.22</v>
      </c>
      <c r="H24" s="34">
        <f t="shared" si="6"/>
        <v>23.22</v>
      </c>
      <c r="I24" s="34">
        <f t="shared" si="6"/>
        <v>23.22</v>
      </c>
      <c r="J24" s="34">
        <f t="shared" si="6"/>
        <v>23.22</v>
      </c>
      <c r="K24" s="34">
        <f t="shared" si="6"/>
        <v>23.22</v>
      </c>
      <c r="L24" s="34">
        <f t="shared" si="6"/>
        <v>23.22</v>
      </c>
      <c r="M24" s="34">
        <f t="shared" si="6"/>
        <v>23.22</v>
      </c>
      <c r="N24" s="84">
        <f t="shared" si="7"/>
        <v>278.64</v>
      </c>
      <c r="Q24" s="103">
        <v>1</v>
      </c>
      <c r="R24" s="103"/>
    </row>
    <row r="25" spans="1:19" x14ac:dyDescent="0.3">
      <c r="A25" s="34" t="s">
        <v>65</v>
      </c>
      <c r="B25" s="34">
        <f t="shared" si="5"/>
        <v>23.22</v>
      </c>
      <c r="C25" s="34">
        <f t="shared" si="5"/>
        <v>23.22</v>
      </c>
      <c r="D25" s="34">
        <f t="shared" si="5"/>
        <v>23.22</v>
      </c>
      <c r="E25" s="34">
        <f t="shared" si="5"/>
        <v>23.22</v>
      </c>
      <c r="F25" s="34">
        <f t="shared" si="5"/>
        <v>23.22</v>
      </c>
      <c r="G25" s="34">
        <f t="shared" si="6"/>
        <v>23.22</v>
      </c>
      <c r="H25" s="34">
        <f t="shared" si="6"/>
        <v>23.22</v>
      </c>
      <c r="I25" s="34">
        <f t="shared" si="6"/>
        <v>23.22</v>
      </c>
      <c r="J25" s="34">
        <f t="shared" si="6"/>
        <v>23.22</v>
      </c>
      <c r="K25" s="34">
        <f t="shared" si="6"/>
        <v>23.22</v>
      </c>
      <c r="L25" s="34">
        <f t="shared" si="6"/>
        <v>23.22</v>
      </c>
      <c r="M25" s="34">
        <f t="shared" si="6"/>
        <v>23.22</v>
      </c>
      <c r="N25" s="84">
        <f t="shared" si="7"/>
        <v>278.64</v>
      </c>
      <c r="Q25" s="103">
        <v>1</v>
      </c>
      <c r="R25" s="103"/>
    </row>
    <row r="26" spans="1:19" x14ac:dyDescent="0.3">
      <c r="A26" s="34" t="s">
        <v>66</v>
      </c>
      <c r="B26" s="34">
        <f t="shared" si="5"/>
        <v>23.22</v>
      </c>
      <c r="C26" s="34">
        <f t="shared" si="5"/>
        <v>23.22</v>
      </c>
      <c r="D26" s="34">
        <f t="shared" si="5"/>
        <v>23.22</v>
      </c>
      <c r="E26" s="34">
        <f t="shared" si="5"/>
        <v>23.22</v>
      </c>
      <c r="F26" s="34">
        <f t="shared" si="5"/>
        <v>23.22</v>
      </c>
      <c r="G26" s="34">
        <f t="shared" ref="G26:M26" si="8">$Q26*$Q$19+$R26*$R$19</f>
        <v>23.22</v>
      </c>
      <c r="H26" s="34">
        <f t="shared" si="8"/>
        <v>23.22</v>
      </c>
      <c r="I26" s="34">
        <f t="shared" si="8"/>
        <v>23.22</v>
      </c>
      <c r="J26" s="34">
        <f t="shared" si="8"/>
        <v>23.22</v>
      </c>
      <c r="K26" s="34">
        <f t="shared" si="8"/>
        <v>23.22</v>
      </c>
      <c r="L26" s="34">
        <f t="shared" si="8"/>
        <v>23.22</v>
      </c>
      <c r="M26" s="34">
        <f t="shared" si="8"/>
        <v>23.22</v>
      </c>
      <c r="N26" s="84">
        <f t="shared" si="7"/>
        <v>278.64</v>
      </c>
      <c r="Q26" s="103">
        <v>1</v>
      </c>
      <c r="R26" s="103"/>
    </row>
    <row r="27" spans="1:19" x14ac:dyDescent="0.3">
      <c r="A27" s="34" t="s">
        <v>82</v>
      </c>
      <c r="B27" s="34">
        <f t="shared" si="5"/>
        <v>23.22</v>
      </c>
      <c r="C27" s="34">
        <f t="shared" si="5"/>
        <v>23.22</v>
      </c>
      <c r="D27" s="34">
        <f t="shared" si="5"/>
        <v>23.22</v>
      </c>
      <c r="E27" s="34">
        <f t="shared" si="5"/>
        <v>23.22</v>
      </c>
      <c r="F27" s="34">
        <f t="shared" si="5"/>
        <v>23.22</v>
      </c>
      <c r="G27" s="34">
        <f t="shared" si="5"/>
        <v>23.22</v>
      </c>
      <c r="H27" s="34">
        <f t="shared" si="5"/>
        <v>23.22</v>
      </c>
      <c r="I27" s="34">
        <f t="shared" si="5"/>
        <v>23.22</v>
      </c>
      <c r="J27" s="34">
        <f t="shared" si="5"/>
        <v>23.22</v>
      </c>
      <c r="K27" s="85">
        <v>22.22</v>
      </c>
      <c r="L27" s="85">
        <v>22.22</v>
      </c>
      <c r="M27" s="85">
        <v>22.22</v>
      </c>
      <c r="N27" s="84">
        <f t="shared" si="7"/>
        <v>275.64</v>
      </c>
      <c r="Q27" s="103">
        <v>1</v>
      </c>
    </row>
    <row r="28" spans="1:19" x14ac:dyDescent="0.3">
      <c r="A28" s="34" t="s">
        <v>108</v>
      </c>
      <c r="B28" s="129" t="s">
        <v>96</v>
      </c>
      <c r="C28" s="130"/>
      <c r="D28" s="130"/>
      <c r="E28" s="130"/>
      <c r="F28" s="130"/>
      <c r="G28" s="130"/>
      <c r="H28" s="130"/>
      <c r="I28" s="130"/>
      <c r="J28" s="130"/>
      <c r="K28" s="130">
        <v>22.22</v>
      </c>
      <c r="L28" s="130">
        <v>22.22</v>
      </c>
      <c r="M28" s="130">
        <v>22.22</v>
      </c>
      <c r="N28" s="84">
        <f>SUM(B28:M28)</f>
        <v>66.66</v>
      </c>
      <c r="Q28" s="103">
        <v>1</v>
      </c>
      <c r="R28" s="103"/>
    </row>
    <row r="29" spans="1:19" x14ac:dyDescent="0.3">
      <c r="A29" s="34" t="s">
        <v>113</v>
      </c>
      <c r="B29" s="129" t="s">
        <v>96</v>
      </c>
      <c r="C29" s="130"/>
      <c r="D29" s="130"/>
      <c r="E29" s="130"/>
      <c r="F29" s="130"/>
      <c r="G29" s="130"/>
      <c r="H29" s="130"/>
      <c r="I29" s="130"/>
      <c r="J29" s="130"/>
      <c r="K29" s="130">
        <v>22.22</v>
      </c>
      <c r="L29" s="130">
        <v>22.22</v>
      </c>
      <c r="M29" s="130">
        <v>22.22</v>
      </c>
      <c r="N29" s="84">
        <f>SUM(B29:M29)</f>
        <v>66.66</v>
      </c>
      <c r="Q29" s="103"/>
      <c r="R29" s="103"/>
    </row>
    <row r="30" spans="1:19" x14ac:dyDescent="0.3">
      <c r="B30" s="122">
        <f t="shared" ref="B30:N30" si="9">SUM(B20:B29)</f>
        <v>311.14</v>
      </c>
      <c r="C30" s="122">
        <f t="shared" si="9"/>
        <v>311.14</v>
      </c>
      <c r="D30" s="122">
        <f t="shared" si="9"/>
        <v>311.14</v>
      </c>
      <c r="E30" s="122">
        <f t="shared" si="9"/>
        <v>311.14</v>
      </c>
      <c r="F30" s="122">
        <f t="shared" si="9"/>
        <v>311.14</v>
      </c>
      <c r="G30" s="122">
        <f t="shared" si="9"/>
        <v>311.14</v>
      </c>
      <c r="H30" s="122">
        <f t="shared" si="9"/>
        <v>311.14</v>
      </c>
      <c r="I30" s="86">
        <f t="shared" si="9"/>
        <v>311.14</v>
      </c>
      <c r="J30" s="122">
        <f t="shared" si="9"/>
        <v>311.14</v>
      </c>
      <c r="K30" s="122">
        <f t="shared" si="9"/>
        <v>354.58</v>
      </c>
      <c r="L30" s="122">
        <f t="shared" si="9"/>
        <v>354.58</v>
      </c>
      <c r="M30" s="122">
        <f t="shared" si="9"/>
        <v>354.58</v>
      </c>
      <c r="N30" s="122">
        <f t="shared" si="9"/>
        <v>3864</v>
      </c>
      <c r="Q30" s="110">
        <f>SUM(Q20:Q29)</f>
        <v>12</v>
      </c>
      <c r="R30" s="110">
        <f>SUM(R20:R29)</f>
        <v>7</v>
      </c>
    </row>
    <row r="31" spans="1:19" x14ac:dyDescent="0.3">
      <c r="B31" s="78"/>
      <c r="C31" s="78"/>
      <c r="D31" s="78"/>
      <c r="E31" s="78"/>
      <c r="F31" s="78"/>
      <c r="G31" s="78"/>
      <c r="H31" s="78"/>
      <c r="Q31" s="34">
        <f>Q30*Q19</f>
        <v>278.64</v>
      </c>
      <c r="R31" s="34">
        <f>R30*R19</f>
        <v>55.72</v>
      </c>
      <c r="S31" s="34">
        <f>SUM(Q31:R31)</f>
        <v>334.36</v>
      </c>
    </row>
    <row r="32" spans="1:19" x14ac:dyDescent="0.3">
      <c r="B32" s="78"/>
      <c r="C32" s="78"/>
      <c r="D32" s="78"/>
      <c r="E32" s="78"/>
      <c r="F32" s="78"/>
      <c r="G32" s="78"/>
      <c r="H32" s="78"/>
    </row>
    <row r="33" spans="2:8" x14ac:dyDescent="0.3">
      <c r="B33" s="78"/>
      <c r="C33" s="78"/>
      <c r="D33" s="78"/>
      <c r="E33" s="78"/>
      <c r="F33" s="78"/>
      <c r="G33" s="78"/>
      <c r="H33" s="78"/>
    </row>
  </sheetData>
  <pageMargins left="0.7" right="0.7" top="0.75" bottom="0.75" header="0.3" footer="0.3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14" sqref="A14"/>
    </sheetView>
  </sheetViews>
  <sheetFormatPr defaultColWidth="10.81640625" defaultRowHeight="12.5" x14ac:dyDescent="0.25"/>
  <cols>
    <col min="1" max="1" width="27.1796875" customWidth="1"/>
  </cols>
  <sheetData>
    <row r="1" spans="1:14" s="34" customFormat="1" ht="15.5" x14ac:dyDescent="0.35">
      <c r="A1" s="124">
        <v>2017</v>
      </c>
      <c r="B1" s="124">
        <v>1</v>
      </c>
      <c r="C1" s="124">
        <v>2</v>
      </c>
      <c r="D1" s="124">
        <v>3</v>
      </c>
      <c r="E1" s="124">
        <v>4</v>
      </c>
      <c r="F1" s="124">
        <v>5</v>
      </c>
      <c r="G1" s="124">
        <v>6</v>
      </c>
      <c r="H1" s="124">
        <v>7</v>
      </c>
      <c r="I1" s="124">
        <v>8</v>
      </c>
      <c r="J1" s="124">
        <v>9</v>
      </c>
      <c r="K1" s="124">
        <v>10</v>
      </c>
      <c r="L1" s="124">
        <v>11</v>
      </c>
      <c r="M1" s="124">
        <v>12</v>
      </c>
      <c r="N1" s="125" t="s">
        <v>70</v>
      </c>
    </row>
    <row r="2" spans="1:14" s="34" customFormat="1" ht="13" x14ac:dyDescent="0.3"/>
    <row r="3" spans="1:14" s="34" customFormat="1" ht="13" x14ac:dyDescent="0.3">
      <c r="A3" s="34" t="s">
        <v>37</v>
      </c>
      <c r="N3" s="84">
        <f>SUM(B3:M3)</f>
        <v>0</v>
      </c>
    </row>
    <row r="4" spans="1:14" s="34" customFormat="1" ht="13" x14ac:dyDescent="0.3">
      <c r="A4" s="34" t="s">
        <v>38</v>
      </c>
      <c r="N4" s="84">
        <f t="shared" ref="N4:N12" si="0">SUM(B4:M4)</f>
        <v>0</v>
      </c>
    </row>
    <row r="5" spans="1:14" s="34" customFormat="1" ht="13" x14ac:dyDescent="0.3">
      <c r="A5" s="34" t="s">
        <v>41</v>
      </c>
      <c r="N5" s="84">
        <f t="shared" si="0"/>
        <v>0</v>
      </c>
    </row>
    <row r="6" spans="1:14" s="34" customFormat="1" ht="13" x14ac:dyDescent="0.3">
      <c r="A6" s="34" t="s">
        <v>39</v>
      </c>
      <c r="N6" s="84">
        <f t="shared" si="0"/>
        <v>0</v>
      </c>
    </row>
    <row r="7" spans="1:14" s="34" customFormat="1" ht="13" x14ac:dyDescent="0.3">
      <c r="A7" s="34" t="s">
        <v>47</v>
      </c>
      <c r="N7" s="84">
        <f t="shared" si="0"/>
        <v>0</v>
      </c>
    </row>
    <row r="8" spans="1:14" s="34" customFormat="1" ht="13" x14ac:dyDescent="0.3">
      <c r="A8" s="34" t="s">
        <v>64</v>
      </c>
      <c r="N8" s="84">
        <f t="shared" si="0"/>
        <v>0</v>
      </c>
    </row>
    <row r="9" spans="1:14" s="34" customFormat="1" ht="13" x14ac:dyDescent="0.3">
      <c r="A9" s="34" t="s">
        <v>65</v>
      </c>
      <c r="N9" s="84">
        <f t="shared" si="0"/>
        <v>0</v>
      </c>
    </row>
    <row r="10" spans="1:14" s="34" customFormat="1" ht="13" x14ac:dyDescent="0.3">
      <c r="A10" s="34" t="s">
        <v>66</v>
      </c>
      <c r="N10" s="84">
        <f t="shared" si="0"/>
        <v>0</v>
      </c>
    </row>
    <row r="11" spans="1:14" s="34" customFormat="1" ht="13" x14ac:dyDescent="0.3">
      <c r="A11" s="34" t="s">
        <v>82</v>
      </c>
      <c r="B11" s="142"/>
      <c r="C11" s="142"/>
      <c r="D11" s="142"/>
      <c r="E11" s="142"/>
      <c r="F11" s="142"/>
      <c r="G11" s="142"/>
      <c r="H11" s="142"/>
      <c r="N11" s="84">
        <f t="shared" ref="N11" si="1">SUM(B11:M11)</f>
        <v>0</v>
      </c>
    </row>
    <row r="12" spans="1:14" s="34" customFormat="1" ht="13" x14ac:dyDescent="0.3">
      <c r="A12" s="34" t="s">
        <v>93</v>
      </c>
      <c r="N12" s="84">
        <f t="shared" si="0"/>
        <v>0</v>
      </c>
    </row>
    <row r="13" spans="1:14" s="34" customFormat="1" ht="13" x14ac:dyDescent="0.3">
      <c r="A13" s="34" t="s">
        <v>94</v>
      </c>
      <c r="G13" s="103"/>
      <c r="H13" s="103"/>
      <c r="I13" s="103"/>
      <c r="J13" s="103"/>
      <c r="K13" s="103"/>
      <c r="L13" s="103"/>
      <c r="M13" s="103"/>
      <c r="N13" s="84">
        <f>SUM(B13:M13)</f>
        <v>0</v>
      </c>
    </row>
    <row r="14" spans="1:14" s="34" customFormat="1" ht="13" x14ac:dyDescent="0.3">
      <c r="B14" s="142"/>
      <c r="C14" s="142"/>
      <c r="D14" s="142"/>
      <c r="E14" s="142"/>
      <c r="F14" s="142"/>
      <c r="G14" s="142"/>
      <c r="H14" s="142"/>
      <c r="N14" s="84"/>
    </row>
    <row r="15" spans="1:14" s="34" customFormat="1" ht="13" x14ac:dyDescent="0.3">
      <c r="B15" s="143">
        <f t="shared" ref="B15:M15" si="2">SUM(B3:B12)</f>
        <v>0</v>
      </c>
      <c r="C15" s="144">
        <f t="shared" si="2"/>
        <v>0</v>
      </c>
      <c r="D15" s="144">
        <f t="shared" si="2"/>
        <v>0</v>
      </c>
      <c r="E15" s="144">
        <f t="shared" si="2"/>
        <v>0</v>
      </c>
      <c r="F15" s="144">
        <f t="shared" si="2"/>
        <v>0</v>
      </c>
      <c r="G15" s="144">
        <f t="shared" si="2"/>
        <v>0</v>
      </c>
      <c r="H15" s="145">
        <f t="shared" si="2"/>
        <v>0</v>
      </c>
      <c r="I15" s="145">
        <f t="shared" si="2"/>
        <v>0</v>
      </c>
      <c r="J15" s="146">
        <f t="shared" si="2"/>
        <v>0</v>
      </c>
      <c r="K15" s="146">
        <f t="shared" si="2"/>
        <v>0</v>
      </c>
      <c r="L15" s="146">
        <f t="shared" si="2"/>
        <v>0</v>
      </c>
      <c r="M15" s="146">
        <f t="shared" si="2"/>
        <v>0</v>
      </c>
      <c r="N15" s="147">
        <f>SUM(N3:N14)</f>
        <v>0</v>
      </c>
    </row>
    <row r="16" spans="1:14" s="34" customFormat="1" ht="13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32"/>
  <sheetViews>
    <sheetView showZeros="0" showOutlineSymbols="0" zoomScaleNormal="100" workbookViewId="0">
      <selection activeCell="E4" sqref="E4"/>
    </sheetView>
  </sheetViews>
  <sheetFormatPr defaultColWidth="11.7265625" defaultRowHeight="13" x14ac:dyDescent="0.3"/>
  <cols>
    <col min="1" max="1" width="15.81640625" style="1" customWidth="1"/>
    <col min="2" max="15" width="8.54296875" style="1" customWidth="1"/>
    <col min="16" max="16" width="10.453125" style="2" customWidth="1"/>
    <col min="17" max="17" width="8.54296875" style="1" customWidth="1"/>
    <col min="18" max="16384" width="11.7265625" style="1"/>
  </cols>
  <sheetData>
    <row r="1" spans="1:29" ht="15.5" x14ac:dyDescent="0.35">
      <c r="A1" s="3" t="s">
        <v>38</v>
      </c>
    </row>
    <row r="3" spans="1:29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4" t="s">
        <v>25</v>
      </c>
    </row>
    <row r="4" spans="1:29" ht="19.899999999999999" customHeight="1" x14ac:dyDescent="0.25">
      <c r="A4" s="1" t="s">
        <v>26</v>
      </c>
      <c r="B4" s="5">
        <f>'2018'!D8</f>
        <v>5664.64</v>
      </c>
      <c r="C4" s="5">
        <f>B4</f>
        <v>5664.64</v>
      </c>
      <c r="D4" s="5">
        <f t="shared" ref="D4:O4" si="0">C4</f>
        <v>5664.64</v>
      </c>
      <c r="E4" s="176">
        <f>D4+100</f>
        <v>5764.64</v>
      </c>
      <c r="F4" s="5">
        <f t="shared" si="0"/>
        <v>5764.64</v>
      </c>
      <c r="H4" s="5">
        <f>F4</f>
        <v>5764.64</v>
      </c>
      <c r="I4" s="5">
        <f t="shared" si="0"/>
        <v>5764.64</v>
      </c>
      <c r="J4" s="5">
        <f t="shared" si="0"/>
        <v>5764.64</v>
      </c>
      <c r="K4" s="5">
        <f t="shared" si="0"/>
        <v>5764.64</v>
      </c>
      <c r="L4" s="5">
        <f t="shared" si="0"/>
        <v>5764.64</v>
      </c>
      <c r="M4" s="5">
        <f t="shared" si="0"/>
        <v>5764.64</v>
      </c>
      <c r="N4" s="5">
        <f t="shared" si="0"/>
        <v>5764.64</v>
      </c>
      <c r="O4" s="5">
        <f t="shared" si="0"/>
        <v>5764.64</v>
      </c>
      <c r="P4" s="6">
        <f>SUM(B4:O4)</f>
        <v>74640.320000000007</v>
      </c>
      <c r="Q4" s="5">
        <f>N4+O4</f>
        <v>11529.28</v>
      </c>
      <c r="R4" s="87"/>
      <c r="U4" s="70"/>
      <c r="W4" s="5"/>
      <c r="X4" s="5"/>
      <c r="Y4" s="5"/>
      <c r="Z4" s="5"/>
      <c r="AA4" s="5"/>
      <c r="AB4" s="5"/>
    </row>
    <row r="5" spans="1:29" ht="19.899999999999999" customHeight="1" x14ac:dyDescent="0.25">
      <c r="A5" s="1" t="s">
        <v>27</v>
      </c>
      <c r="B5" s="5"/>
      <c r="C5" s="5"/>
      <c r="D5" s="5"/>
      <c r="E5" s="5"/>
      <c r="F5" s="5"/>
      <c r="G5" s="5">
        <f>F4*0.92</f>
        <v>5303.47</v>
      </c>
      <c r="H5" s="5"/>
      <c r="I5" s="5"/>
      <c r="J5" s="5"/>
      <c r="K5" s="5"/>
      <c r="L5" s="5"/>
      <c r="M5" s="5"/>
      <c r="N5" s="5"/>
      <c r="O5" s="5"/>
      <c r="P5" s="6">
        <f t="shared" ref="P5:P14" si="1">SUM(B5:O5)</f>
        <v>5303.47</v>
      </c>
      <c r="Q5" s="5"/>
      <c r="W5" s="5"/>
      <c r="X5" s="5"/>
      <c r="Y5" s="5"/>
      <c r="Z5" s="5"/>
      <c r="AA5" s="5"/>
      <c r="AB5" s="5"/>
    </row>
    <row r="6" spans="1:29" ht="19.899999999999999" customHeight="1" x14ac:dyDescent="0.25">
      <c r="A6" s="1" t="s">
        <v>28</v>
      </c>
      <c r="B6" s="5">
        <f>B4*25.68%</f>
        <v>1454.68</v>
      </c>
      <c r="C6" s="5">
        <f t="shared" ref="C6:O6" si="2">C4*25.68%</f>
        <v>1454.68</v>
      </c>
      <c r="D6" s="5">
        <f t="shared" si="2"/>
        <v>1454.68</v>
      </c>
      <c r="E6" s="5">
        <f t="shared" si="2"/>
        <v>1480.36</v>
      </c>
      <c r="F6" s="5">
        <f t="shared" si="2"/>
        <v>1480.36</v>
      </c>
      <c r="G6" s="5">
        <f t="shared" si="2"/>
        <v>0</v>
      </c>
      <c r="H6" s="5">
        <f t="shared" si="2"/>
        <v>1480.36</v>
      </c>
      <c r="I6" s="5">
        <f t="shared" si="2"/>
        <v>1480.36</v>
      </c>
      <c r="J6" s="5">
        <f t="shared" si="2"/>
        <v>1480.36</v>
      </c>
      <c r="K6" s="5">
        <f t="shared" si="2"/>
        <v>1480.36</v>
      </c>
      <c r="L6" s="5">
        <f t="shared" si="2"/>
        <v>1480.36</v>
      </c>
      <c r="M6" s="5">
        <f t="shared" si="2"/>
        <v>1480.36</v>
      </c>
      <c r="N6" s="5">
        <f t="shared" si="2"/>
        <v>1480.36</v>
      </c>
      <c r="O6" s="5">
        <f t="shared" si="2"/>
        <v>1480.36</v>
      </c>
      <c r="P6" s="6">
        <f t="shared" ref="P6:P7" si="3">SUM(B6:O6)</f>
        <v>19167.64</v>
      </c>
      <c r="Q6" s="5">
        <f>N6+O6</f>
        <v>2960.72</v>
      </c>
      <c r="R6" s="70"/>
      <c r="T6" s="70"/>
      <c r="U6" s="80"/>
      <c r="W6" s="5"/>
      <c r="X6" s="5"/>
      <c r="Y6" s="5"/>
      <c r="Z6" s="5"/>
      <c r="AA6" s="5"/>
      <c r="AB6" s="5"/>
    </row>
    <row r="7" spans="1:29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 t="shared" si="3"/>
        <v>0</v>
      </c>
      <c r="Q7" s="5"/>
      <c r="U7" s="91"/>
      <c r="W7" s="5"/>
      <c r="X7" s="5"/>
      <c r="Y7" s="5"/>
      <c r="Z7" s="5"/>
      <c r="AA7" s="5"/>
      <c r="AB7" s="5"/>
    </row>
    <row r="8" spans="1:29" ht="19.899999999999999" customHeight="1" x14ac:dyDescent="0.25">
      <c r="A8" s="1" t="s">
        <v>30</v>
      </c>
      <c r="B8" s="5">
        <f>-B4*0.126%</f>
        <v>-7.14</v>
      </c>
      <c r="C8" s="5">
        <f t="shared" ref="C8:O8" si="4">-C4*0.126%</f>
        <v>-7.14</v>
      </c>
      <c r="D8" s="5">
        <f t="shared" si="4"/>
        <v>-7.14</v>
      </c>
      <c r="E8" s="5">
        <f t="shared" si="4"/>
        <v>-7.26</v>
      </c>
      <c r="F8" s="5">
        <f t="shared" si="4"/>
        <v>-7.26</v>
      </c>
      <c r="G8" s="5">
        <f>-G5*0.126%</f>
        <v>-6.68</v>
      </c>
      <c r="H8" s="5">
        <f t="shared" si="4"/>
        <v>-7.26</v>
      </c>
      <c r="I8" s="5">
        <f t="shared" si="4"/>
        <v>-7.26</v>
      </c>
      <c r="J8" s="5">
        <f t="shared" si="4"/>
        <v>-7.26</v>
      </c>
      <c r="K8" s="5">
        <f t="shared" si="4"/>
        <v>-7.26</v>
      </c>
      <c r="L8" s="5">
        <f t="shared" si="4"/>
        <v>-7.26</v>
      </c>
      <c r="M8" s="5">
        <f t="shared" si="4"/>
        <v>-7.26</v>
      </c>
      <c r="N8" s="5">
        <f t="shared" si="4"/>
        <v>-7.26</v>
      </c>
      <c r="O8" s="5">
        <f t="shared" si="4"/>
        <v>-7.26</v>
      </c>
      <c r="P8" s="6">
        <f>SUM(B8:O8)</f>
        <v>-100.7</v>
      </c>
      <c r="Q8" s="5"/>
      <c r="R8" s="67"/>
      <c r="T8" s="67"/>
      <c r="W8" s="5"/>
      <c r="X8" s="5"/>
      <c r="Y8" s="5"/>
      <c r="Z8" s="5"/>
      <c r="AA8" s="5"/>
      <c r="AB8" s="5"/>
    </row>
    <row r="9" spans="1:29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1"/>
        <v>0</v>
      </c>
      <c r="Q9" s="5"/>
      <c r="X9" s="5"/>
      <c r="Y9" s="5"/>
      <c r="Z9" s="5"/>
      <c r="AA9" s="5"/>
      <c r="AB9" s="5"/>
    </row>
    <row r="10" spans="1:29" s="11" customFormat="1" ht="19.899999999999999" customHeight="1" x14ac:dyDescent="0.3">
      <c r="A10" s="7" t="s">
        <v>31</v>
      </c>
      <c r="B10" s="8">
        <f>SUM(B4:B9)</f>
        <v>7112.18</v>
      </c>
      <c r="C10" s="8">
        <f>SUM(C4:C9)</f>
        <v>7112.18</v>
      </c>
      <c r="D10" s="8">
        <f>SUM(D4:D9)</f>
        <v>7112.18</v>
      </c>
      <c r="E10" s="8">
        <f>SUM(E4:E9)</f>
        <v>7237.74</v>
      </c>
      <c r="F10" s="8">
        <f>SUM(F4:F9)</f>
        <v>7237.74</v>
      </c>
      <c r="G10" s="8">
        <f>SUM(G5:G9)</f>
        <v>5296.79</v>
      </c>
      <c r="H10" s="8">
        <f t="shared" ref="H10:N10" si="5">SUM(H4:H9)</f>
        <v>7237.74</v>
      </c>
      <c r="I10" s="8">
        <f t="shared" si="5"/>
        <v>7237.74</v>
      </c>
      <c r="J10" s="8">
        <f t="shared" si="5"/>
        <v>7237.74</v>
      </c>
      <c r="K10" s="8">
        <f t="shared" si="5"/>
        <v>7237.74</v>
      </c>
      <c r="L10" s="8">
        <f t="shared" si="5"/>
        <v>7237.74</v>
      </c>
      <c r="M10" s="8">
        <f t="shared" si="5"/>
        <v>7237.74</v>
      </c>
      <c r="N10" s="8">
        <f t="shared" si="5"/>
        <v>7237.74</v>
      </c>
      <c r="O10" s="8">
        <f>SUM(O4:O9)</f>
        <v>7237.74</v>
      </c>
      <c r="P10" s="9">
        <f t="shared" si="1"/>
        <v>99010.73</v>
      </c>
      <c r="Q10" s="10"/>
      <c r="W10" s="5"/>
      <c r="X10" s="5"/>
      <c r="Y10" s="5"/>
      <c r="Z10" s="5"/>
      <c r="AA10" s="5"/>
      <c r="AB10" s="5"/>
      <c r="AC10" s="1"/>
    </row>
    <row r="11" spans="1:29" ht="19.899999999999999" customHeight="1" x14ac:dyDescent="0.25">
      <c r="A11" s="1" t="s">
        <v>32</v>
      </c>
      <c r="B11" s="5"/>
      <c r="C11" s="5"/>
      <c r="D11" s="15"/>
      <c r="E11" s="5"/>
      <c r="F11" s="5"/>
      <c r="G11" s="12"/>
      <c r="H11" s="5"/>
      <c r="I11" s="5"/>
      <c r="J11" s="5"/>
      <c r="K11" s="5"/>
      <c r="L11" s="5"/>
      <c r="M11" s="5"/>
      <c r="N11" s="5"/>
      <c r="O11" s="12"/>
      <c r="P11" s="6">
        <f t="shared" si="1"/>
        <v>0</v>
      </c>
      <c r="Q11" s="5"/>
      <c r="W11" s="5"/>
      <c r="X11" s="5"/>
      <c r="Y11" s="5"/>
      <c r="Z11" s="5"/>
      <c r="AA11" s="5"/>
      <c r="AB11" s="5"/>
    </row>
    <row r="12" spans="1:29" ht="19.899999999999999" customHeight="1" x14ac:dyDescent="0.25">
      <c r="A12" s="1" t="s">
        <v>75</v>
      </c>
      <c r="B12" s="5"/>
      <c r="C12" s="5">
        <v>2075</v>
      </c>
      <c r="D12" s="5"/>
      <c r="E12" s="5"/>
      <c r="F12" s="5"/>
      <c r="G12" s="12"/>
      <c r="H12" s="5"/>
      <c r="I12" s="5"/>
      <c r="J12" s="5"/>
      <c r="K12" s="5"/>
      <c r="L12" s="5"/>
      <c r="M12" s="5"/>
      <c r="N12" s="5"/>
      <c r="O12" s="12"/>
      <c r="P12" s="6">
        <f t="shared" si="1"/>
        <v>2075</v>
      </c>
      <c r="Q12" s="5"/>
      <c r="W12" s="5"/>
      <c r="X12" s="5"/>
      <c r="Y12" s="5"/>
      <c r="Z12" s="5"/>
      <c r="AA12" s="5"/>
      <c r="AB12" s="5"/>
    </row>
    <row r="13" spans="1:29" ht="19.899999999999999" customHeight="1" x14ac:dyDescent="0.25">
      <c r="A13" s="1" t="s">
        <v>54</v>
      </c>
      <c r="B13" s="1">
        <v>137.4</v>
      </c>
      <c r="C13" s="1">
        <v>137.4</v>
      </c>
      <c r="D13" s="1">
        <v>137.4</v>
      </c>
      <c r="E13" s="1">
        <v>137.4</v>
      </c>
      <c r="F13" s="1">
        <v>137.4</v>
      </c>
      <c r="G13" s="12"/>
      <c r="H13" s="1">
        <v>137.4</v>
      </c>
      <c r="I13" s="1">
        <v>137.4</v>
      </c>
      <c r="J13" s="1">
        <v>68.7</v>
      </c>
      <c r="K13" s="1">
        <v>137.4</v>
      </c>
      <c r="L13" s="1">
        <v>137.4</v>
      </c>
      <c r="M13" s="1">
        <v>137.4</v>
      </c>
      <c r="N13" s="1">
        <v>103.05</v>
      </c>
      <c r="O13" s="12"/>
      <c r="P13" s="6">
        <f t="shared" si="1"/>
        <v>1545.75</v>
      </c>
      <c r="Q13" s="5"/>
      <c r="W13" s="5"/>
      <c r="X13" s="5"/>
      <c r="Y13" s="5"/>
      <c r="Z13" s="5"/>
      <c r="AA13" s="5"/>
      <c r="AB13" s="5"/>
    </row>
    <row r="14" spans="1:29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12"/>
      <c r="P14" s="6">
        <f t="shared" si="1"/>
        <v>0</v>
      </c>
      <c r="Q14"/>
      <c r="T14"/>
      <c r="W14" s="5"/>
      <c r="X14" s="5"/>
      <c r="Y14" s="5"/>
      <c r="Z14" s="5"/>
      <c r="AA14" s="5"/>
      <c r="AB14" s="5"/>
    </row>
    <row r="15" spans="1:29" s="11" customFormat="1" ht="19.899999999999999" customHeight="1" x14ac:dyDescent="0.3">
      <c r="A15" s="7" t="s">
        <v>25</v>
      </c>
      <c r="B15" s="8">
        <f t="shared" ref="B15:G15" si="6">SUM(B10:B14)</f>
        <v>7249.58</v>
      </c>
      <c r="C15" s="8">
        <f t="shared" si="6"/>
        <v>9324.58</v>
      </c>
      <c r="D15" s="8">
        <f t="shared" si="6"/>
        <v>7249.58</v>
      </c>
      <c r="E15" s="8">
        <f t="shared" si="6"/>
        <v>7375.14</v>
      </c>
      <c r="F15" s="8">
        <f t="shared" si="6"/>
        <v>7375.14</v>
      </c>
      <c r="G15" s="8">
        <f t="shared" si="6"/>
        <v>5296.79</v>
      </c>
      <c r="H15" s="8">
        <f t="shared" ref="H15:N15" si="7">SUM(H10:H14)</f>
        <v>7375.14</v>
      </c>
      <c r="I15" s="8">
        <f t="shared" si="7"/>
        <v>7375.14</v>
      </c>
      <c r="J15" s="8">
        <f t="shared" si="7"/>
        <v>7306.44</v>
      </c>
      <c r="K15" s="8">
        <f t="shared" si="7"/>
        <v>7375.14</v>
      </c>
      <c r="L15" s="8">
        <f t="shared" si="7"/>
        <v>7375.14</v>
      </c>
      <c r="M15" s="8">
        <f t="shared" si="7"/>
        <v>7375.14</v>
      </c>
      <c r="N15" s="8">
        <f t="shared" si="7"/>
        <v>7340.79</v>
      </c>
      <c r="O15" s="8">
        <f t="shared" ref="O15:P15" si="8">SUM(O10:O14)</f>
        <v>7237.74</v>
      </c>
      <c r="P15" s="9">
        <f t="shared" si="8"/>
        <v>102631.48</v>
      </c>
      <c r="Q15"/>
      <c r="T15"/>
      <c r="W15" s="5"/>
      <c r="X15" s="5"/>
      <c r="Y15" s="5"/>
      <c r="Z15" s="5"/>
      <c r="AA15" s="5"/>
      <c r="AB15" s="5"/>
      <c r="AC15" s="1"/>
    </row>
    <row r="16" spans="1:29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 t="s">
        <v>35</v>
      </c>
      <c r="P16" s="13">
        <f>SUM(B15:O15)</f>
        <v>102631.48</v>
      </c>
      <c r="Q16" s="5"/>
      <c r="W16" s="5"/>
      <c r="X16" s="5"/>
      <c r="Y16" s="5"/>
      <c r="Z16" s="5"/>
      <c r="AA16" s="5"/>
      <c r="AB16" s="5"/>
    </row>
    <row r="17" spans="1:29" s="11" customFormat="1" ht="19.899999999999999" customHeight="1" x14ac:dyDescent="0.3">
      <c r="A17" s="7" t="s">
        <v>20</v>
      </c>
      <c r="B17" s="8">
        <f>B4*18.8%</f>
        <v>1064.95</v>
      </c>
      <c r="C17" s="8">
        <f t="shared" ref="C17:N17" si="9">C4*18.8%</f>
        <v>1064.95</v>
      </c>
      <c r="D17" s="8">
        <f t="shared" si="9"/>
        <v>1064.95</v>
      </c>
      <c r="E17" s="8">
        <f t="shared" si="9"/>
        <v>1083.75</v>
      </c>
      <c r="F17" s="8">
        <f t="shared" si="9"/>
        <v>1083.75</v>
      </c>
      <c r="G17" s="8">
        <f t="shared" si="9"/>
        <v>0</v>
      </c>
      <c r="H17" s="8">
        <f t="shared" si="9"/>
        <v>1083.75</v>
      </c>
      <c r="I17" s="8">
        <f t="shared" si="9"/>
        <v>1083.75</v>
      </c>
      <c r="J17" s="8">
        <f t="shared" si="9"/>
        <v>1083.75</v>
      </c>
      <c r="K17" s="8">
        <f t="shared" si="9"/>
        <v>1083.75</v>
      </c>
      <c r="L17" s="8">
        <f t="shared" si="9"/>
        <v>1083.75</v>
      </c>
      <c r="M17" s="8">
        <f t="shared" si="9"/>
        <v>1083.75</v>
      </c>
      <c r="N17" s="8">
        <f t="shared" si="9"/>
        <v>1083.75</v>
      </c>
      <c r="O17" s="8"/>
      <c r="P17" s="9">
        <f>SUM(B17:O17)</f>
        <v>12948.6</v>
      </c>
      <c r="Q17" s="10"/>
      <c r="W17" s="5"/>
      <c r="X17" s="5"/>
      <c r="Y17" s="5"/>
      <c r="Z17" s="5"/>
      <c r="AA17" s="5"/>
      <c r="AB17" s="5"/>
      <c r="AC17" s="1"/>
    </row>
    <row r="18" spans="1:29" s="11" customFormat="1" ht="19.899999999999999" customHeight="1" x14ac:dyDescent="0.3">
      <c r="A18" s="7" t="s">
        <v>21</v>
      </c>
      <c r="B18" s="8">
        <f>$O10/12</f>
        <v>603.15</v>
      </c>
      <c r="C18" s="8">
        <f t="shared" ref="C18:N18" si="10">$O10/12</f>
        <v>603.15</v>
      </c>
      <c r="D18" s="8">
        <f t="shared" si="10"/>
        <v>603.15</v>
      </c>
      <c r="E18" s="8">
        <f t="shared" si="10"/>
        <v>603.15</v>
      </c>
      <c r="F18" s="8">
        <f t="shared" si="10"/>
        <v>603.15</v>
      </c>
      <c r="G18" s="8"/>
      <c r="H18" s="8">
        <f t="shared" si="10"/>
        <v>603.15</v>
      </c>
      <c r="I18" s="8">
        <f t="shared" si="10"/>
        <v>603.15</v>
      </c>
      <c r="J18" s="8">
        <f t="shared" si="10"/>
        <v>603.15</v>
      </c>
      <c r="K18" s="8">
        <f t="shared" si="10"/>
        <v>603.15</v>
      </c>
      <c r="L18" s="8">
        <f t="shared" si="10"/>
        <v>603.15</v>
      </c>
      <c r="M18" s="8">
        <f t="shared" si="10"/>
        <v>603.15</v>
      </c>
      <c r="N18" s="8">
        <f t="shared" si="10"/>
        <v>603.15</v>
      </c>
      <c r="O18" s="8"/>
      <c r="P18" s="9">
        <f>SUM(B18:O18)</f>
        <v>7237.8</v>
      </c>
      <c r="Q18" s="10"/>
    </row>
    <row r="20" spans="1:29" s="11" customFormat="1" ht="19.899999999999999" customHeight="1" x14ac:dyDescent="0.3">
      <c r="A20" s="7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>SUM(B20:O20)</f>
        <v>0</v>
      </c>
      <c r="Q20" s="10"/>
    </row>
    <row r="21" spans="1:29" ht="12.5" x14ac:dyDescent="0.25">
      <c r="O21"/>
      <c r="P21" s="14"/>
    </row>
    <row r="22" spans="1:29" x14ac:dyDescent="0.3">
      <c r="B22" s="1">
        <f t="shared" ref="B22:F22" si="11">B13/6.87</f>
        <v>20</v>
      </c>
      <c r="C22" s="1">
        <f t="shared" si="11"/>
        <v>20</v>
      </c>
      <c r="D22" s="1">
        <f t="shared" si="11"/>
        <v>20</v>
      </c>
      <c r="E22" s="1">
        <f t="shared" si="11"/>
        <v>20</v>
      </c>
      <c r="F22" s="1">
        <f t="shared" si="11"/>
        <v>20</v>
      </c>
      <c r="H22" s="1">
        <f>H13/6.87</f>
        <v>20</v>
      </c>
      <c r="I22" s="1">
        <f t="shared" ref="I22:N22" si="12">I13/6.87</f>
        <v>20</v>
      </c>
      <c r="J22" s="1">
        <f t="shared" si="12"/>
        <v>10</v>
      </c>
      <c r="K22" s="1">
        <f t="shared" si="12"/>
        <v>20</v>
      </c>
      <c r="L22" s="1">
        <f t="shared" si="12"/>
        <v>20</v>
      </c>
      <c r="M22" s="1">
        <f t="shared" si="12"/>
        <v>20</v>
      </c>
      <c r="N22" s="1">
        <f t="shared" si="12"/>
        <v>15</v>
      </c>
      <c r="O22" s="13"/>
      <c r="P22" s="2">
        <f>SUM(B22:O22)</f>
        <v>225</v>
      </c>
    </row>
    <row r="23" spans="1:29" x14ac:dyDescent="0.3">
      <c r="O23"/>
    </row>
    <row r="25" spans="1:29" x14ac:dyDescent="0.3">
      <c r="E25" s="80"/>
    </row>
    <row r="27" spans="1:29" x14ac:dyDescent="0.3">
      <c r="V27" s="87"/>
    </row>
    <row r="28" spans="1:29" x14ac:dyDescent="0.3">
      <c r="V28" s="87"/>
    </row>
    <row r="29" spans="1:29" x14ac:dyDescent="0.3">
      <c r="V29" s="87"/>
    </row>
    <row r="32" spans="1:29" x14ac:dyDescent="0.3">
      <c r="V32" s="87"/>
    </row>
  </sheetData>
  <phoneticPr fontId="6" type="noConversion"/>
  <printOptions horizontalCentered="1"/>
  <pageMargins left="0.19652777777777777" right="0.19652777777777777" top="0.78749999999999998" bottom="1.2194444444444446" header="0.51180555555555562" footer="0.78749999999999998"/>
  <pageSetup paperSize="9" firstPageNumber="0" orientation="landscape" horizontalDpi="300" verticalDpi="300" r:id="rId1"/>
  <headerFooter alignWithMargins="0">
    <oddFooter xml:space="preserve">&amp;L&amp;"Times New Roman,Normal"&amp;9NOMSOCIETE&amp;C&amp;"Times New Roman,Normal"&amp;12Page &amp;P&amp;R&amp;"Times New Roman,Normal"&amp;12&amp;F
&amp;A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E32"/>
  <sheetViews>
    <sheetView showZeros="0" showOutlineSymbols="0" zoomScaleNormal="100" workbookViewId="0">
      <selection activeCell="B6" sqref="B6:O6"/>
    </sheetView>
  </sheetViews>
  <sheetFormatPr defaultColWidth="11.7265625" defaultRowHeight="13" x14ac:dyDescent="0.3"/>
  <cols>
    <col min="1" max="1" width="15.81640625" style="1" customWidth="1"/>
    <col min="2" max="15" width="8.54296875" style="1" customWidth="1"/>
    <col min="16" max="16" width="9.1796875" style="2" customWidth="1"/>
    <col min="17" max="17" width="8.54296875" style="1" customWidth="1"/>
    <col min="18" max="16384" width="11.7265625" style="1"/>
  </cols>
  <sheetData>
    <row r="1" spans="1:31" ht="15.5" x14ac:dyDescent="0.35">
      <c r="A1" s="3" t="s">
        <v>41</v>
      </c>
    </row>
    <row r="3" spans="1:31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25</v>
      </c>
    </row>
    <row r="4" spans="1:31" ht="19.899999999999999" customHeight="1" x14ac:dyDescent="0.25">
      <c r="A4" s="1" t="s">
        <v>26</v>
      </c>
      <c r="B4" s="5">
        <f>'2018'!D9</f>
        <v>3744.32</v>
      </c>
      <c r="C4" s="5">
        <f>B4</f>
        <v>3744.32</v>
      </c>
      <c r="D4" s="5">
        <f t="shared" ref="D4:O4" si="0">C4</f>
        <v>3744.32</v>
      </c>
      <c r="E4" s="176">
        <v>3770</v>
      </c>
      <c r="F4" s="5">
        <f t="shared" si="0"/>
        <v>3770</v>
      </c>
      <c r="H4" s="5">
        <f>F4</f>
        <v>3770</v>
      </c>
      <c r="I4" s="5">
        <f t="shared" si="0"/>
        <v>3770</v>
      </c>
      <c r="J4" s="5">
        <f t="shared" si="0"/>
        <v>3770</v>
      </c>
      <c r="K4" s="5">
        <f t="shared" si="0"/>
        <v>3770</v>
      </c>
      <c r="L4" s="5">
        <f t="shared" si="0"/>
        <v>3770</v>
      </c>
      <c r="M4" s="5">
        <f t="shared" si="0"/>
        <v>3770</v>
      </c>
      <c r="N4" s="5">
        <f t="shared" si="0"/>
        <v>3770</v>
      </c>
      <c r="O4" s="5">
        <f t="shared" si="0"/>
        <v>3770</v>
      </c>
      <c r="P4" s="6">
        <f t="shared" ref="P4:P14" si="1">SUM(B4:O4)</f>
        <v>48932.959999999999</v>
      </c>
      <c r="Q4" s="5"/>
      <c r="V4" s="70"/>
      <c r="X4" s="5"/>
      <c r="Y4" s="5"/>
      <c r="Z4" s="5"/>
      <c r="AA4" s="5"/>
      <c r="AB4" s="5"/>
      <c r="AC4" s="5"/>
    </row>
    <row r="5" spans="1:31" ht="19.899999999999999" customHeight="1" x14ac:dyDescent="0.25">
      <c r="A5" s="1" t="s">
        <v>27</v>
      </c>
      <c r="B5" s="5"/>
      <c r="C5" s="5"/>
      <c r="D5" s="5"/>
      <c r="E5" s="5"/>
      <c r="F5" s="5"/>
      <c r="G5" s="5">
        <f>F4*0.92</f>
        <v>3468.4</v>
      </c>
      <c r="H5" s="5"/>
      <c r="I5" s="5"/>
      <c r="J5" s="5"/>
      <c r="K5" s="5"/>
      <c r="L5" s="5"/>
      <c r="M5" s="5"/>
      <c r="N5" s="5"/>
      <c r="O5" s="5"/>
      <c r="P5" s="6">
        <f t="shared" si="1"/>
        <v>3468.4</v>
      </c>
      <c r="Q5" s="5"/>
      <c r="X5" s="5"/>
      <c r="Y5" s="5"/>
      <c r="Z5" s="5"/>
      <c r="AA5" s="5"/>
      <c r="AB5" s="5"/>
      <c r="AC5" s="5"/>
    </row>
    <row r="6" spans="1:31" ht="19.899999999999999" customHeight="1" x14ac:dyDescent="0.25">
      <c r="A6" s="1" t="s">
        <v>28</v>
      </c>
      <c r="B6" s="5">
        <f>B4*25.68%</f>
        <v>961.54</v>
      </c>
      <c r="C6" s="5">
        <f t="shared" ref="C6:O6" si="2">C4*25.68%</f>
        <v>961.54</v>
      </c>
      <c r="D6" s="5">
        <f t="shared" si="2"/>
        <v>961.54</v>
      </c>
      <c r="E6" s="5">
        <f t="shared" si="2"/>
        <v>968.14</v>
      </c>
      <c r="F6" s="5">
        <f t="shared" si="2"/>
        <v>968.14</v>
      </c>
      <c r="G6" s="5">
        <f t="shared" si="2"/>
        <v>0</v>
      </c>
      <c r="H6" s="5">
        <f t="shared" si="2"/>
        <v>968.14</v>
      </c>
      <c r="I6" s="5">
        <f t="shared" si="2"/>
        <v>968.14</v>
      </c>
      <c r="J6" s="5">
        <f t="shared" si="2"/>
        <v>968.14</v>
      </c>
      <c r="K6" s="5">
        <f t="shared" si="2"/>
        <v>968.14</v>
      </c>
      <c r="L6" s="5">
        <f t="shared" si="2"/>
        <v>968.14</v>
      </c>
      <c r="M6" s="5">
        <f t="shared" si="2"/>
        <v>968.14</v>
      </c>
      <c r="N6" s="5">
        <f t="shared" si="2"/>
        <v>968.14</v>
      </c>
      <c r="O6" s="5">
        <f t="shared" si="2"/>
        <v>968.14</v>
      </c>
      <c r="P6" s="6">
        <f>SUM(B6:O6)</f>
        <v>12566.02</v>
      </c>
      <c r="Q6" s="5">
        <f>N6+O6</f>
        <v>1936.28</v>
      </c>
      <c r="R6" s="70"/>
      <c r="U6" s="70"/>
      <c r="V6" s="80"/>
      <c r="X6" s="5"/>
      <c r="Y6" s="5"/>
      <c r="Z6" s="5"/>
      <c r="AA6" s="5"/>
      <c r="AB6" s="5"/>
      <c r="AC6" s="5"/>
    </row>
    <row r="7" spans="1:31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>SUM(B7:O7)</f>
        <v>0</v>
      </c>
      <c r="Q7" s="5"/>
      <c r="V7" s="91"/>
      <c r="X7" s="5"/>
      <c r="Y7" s="5"/>
      <c r="Z7" s="5"/>
      <c r="AA7" s="5"/>
      <c r="AB7" s="5"/>
      <c r="AC7" s="5"/>
    </row>
    <row r="8" spans="1:31" ht="19.899999999999999" customHeight="1" x14ac:dyDescent="0.25">
      <c r="A8" s="1" t="s">
        <v>30</v>
      </c>
      <c r="B8" s="5">
        <f t="shared" ref="B8:O8" si="3">-B4*0.126%</f>
        <v>-4.72</v>
      </c>
      <c r="C8" s="5">
        <f t="shared" si="3"/>
        <v>-4.72</v>
      </c>
      <c r="D8" s="5">
        <f t="shared" si="3"/>
        <v>-4.72</v>
      </c>
      <c r="E8" s="5">
        <f t="shared" si="3"/>
        <v>-4.75</v>
      </c>
      <c r="F8" s="5">
        <f t="shared" si="3"/>
        <v>-4.75</v>
      </c>
      <c r="G8" s="5">
        <f>-G5*0.126%</f>
        <v>-4.37</v>
      </c>
      <c r="H8" s="5">
        <f t="shared" si="3"/>
        <v>-4.75</v>
      </c>
      <c r="I8" s="5">
        <f t="shared" si="3"/>
        <v>-4.75</v>
      </c>
      <c r="J8" s="5">
        <f t="shared" si="3"/>
        <v>-4.75</v>
      </c>
      <c r="K8" s="5">
        <f t="shared" si="3"/>
        <v>-4.75</v>
      </c>
      <c r="L8" s="5">
        <f t="shared" si="3"/>
        <v>-4.75</v>
      </c>
      <c r="M8" s="5">
        <f t="shared" si="3"/>
        <v>-4.75</v>
      </c>
      <c r="N8" s="5">
        <f t="shared" si="3"/>
        <v>-4.75</v>
      </c>
      <c r="O8" s="5">
        <f t="shared" si="3"/>
        <v>-4.75</v>
      </c>
      <c r="P8" s="6">
        <f>SUM(B8:O8)</f>
        <v>-66.03</v>
      </c>
      <c r="Q8" s="5"/>
      <c r="R8" s="67"/>
      <c r="U8" s="67"/>
      <c r="X8" s="5"/>
      <c r="Y8" s="5"/>
      <c r="Z8" s="5"/>
      <c r="AA8" s="5"/>
      <c r="AB8" s="5"/>
      <c r="AC8" s="5"/>
    </row>
    <row r="9" spans="1:31" s="18" customFormat="1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0">
        <f t="shared" si="1"/>
        <v>0</v>
      </c>
      <c r="Q9" s="15"/>
      <c r="U9" s="1"/>
      <c r="V9" s="1"/>
      <c r="W9" s="1"/>
      <c r="X9" s="1"/>
      <c r="Y9" s="5"/>
      <c r="Z9" s="5"/>
      <c r="AA9" s="5"/>
      <c r="AB9" s="5"/>
      <c r="AC9" s="5"/>
      <c r="AD9" s="1"/>
      <c r="AE9" s="1"/>
    </row>
    <row r="10" spans="1:31" s="24" customFormat="1" ht="19.899999999999999" customHeight="1" x14ac:dyDescent="0.3">
      <c r="A10" s="21" t="s">
        <v>31</v>
      </c>
      <c r="B10" s="16">
        <f>SUM(B4:B9)</f>
        <v>4701.1400000000003</v>
      </c>
      <c r="C10" s="16">
        <f>SUM(C4:C9)</f>
        <v>4701.1400000000003</v>
      </c>
      <c r="D10" s="16">
        <f>SUM(D4:D9)</f>
        <v>4701.1400000000003</v>
      </c>
      <c r="E10" s="16">
        <f>SUM(E4:E9)</f>
        <v>4733.3900000000003</v>
      </c>
      <c r="F10" s="16">
        <f>SUM(F4:F9)</f>
        <v>4733.3900000000003</v>
      </c>
      <c r="G10" s="16">
        <f>SUM(G5:G9)</f>
        <v>3464.03</v>
      </c>
      <c r="H10" s="16">
        <f t="shared" ref="H10:O10" si="4">SUM(H4:H9)</f>
        <v>4733.3900000000003</v>
      </c>
      <c r="I10" s="16">
        <f t="shared" si="4"/>
        <v>4733.3900000000003</v>
      </c>
      <c r="J10" s="16">
        <f t="shared" si="4"/>
        <v>4733.3900000000003</v>
      </c>
      <c r="K10" s="16">
        <f t="shared" si="4"/>
        <v>4733.3900000000003</v>
      </c>
      <c r="L10" s="16">
        <f t="shared" si="4"/>
        <v>4733.3900000000003</v>
      </c>
      <c r="M10" s="16">
        <f t="shared" si="4"/>
        <v>4733.3900000000003</v>
      </c>
      <c r="N10" s="16">
        <f t="shared" si="4"/>
        <v>4733.3900000000003</v>
      </c>
      <c r="O10" s="16">
        <f t="shared" si="4"/>
        <v>4733.3900000000003</v>
      </c>
      <c r="P10" s="22">
        <f t="shared" si="1"/>
        <v>64901.35</v>
      </c>
      <c r="Q10" s="23"/>
      <c r="U10" s="11"/>
      <c r="V10" s="11"/>
      <c r="W10" s="11"/>
      <c r="X10" s="5"/>
      <c r="Y10" s="5"/>
      <c r="Z10" s="5"/>
      <c r="AA10" s="5"/>
      <c r="AB10" s="5"/>
      <c r="AC10" s="5"/>
      <c r="AD10" s="1"/>
      <c r="AE10" s="11"/>
    </row>
    <row r="11" spans="1:31" s="18" customFormat="1" ht="19.899999999999999" customHeight="1" x14ac:dyDescent="0.25">
      <c r="A11" s="18" t="s">
        <v>32</v>
      </c>
      <c r="B11" s="15"/>
      <c r="C11" s="15"/>
      <c r="D11" s="15"/>
      <c r="E11" s="15"/>
      <c r="F11" s="15"/>
      <c r="G11" s="30"/>
      <c r="H11" s="15"/>
      <c r="I11" s="15"/>
      <c r="J11" s="15"/>
      <c r="K11" s="15"/>
      <c r="L11" s="15"/>
      <c r="M11" s="15"/>
      <c r="N11" s="15"/>
      <c r="O11" s="30"/>
      <c r="P11" s="20">
        <f t="shared" si="1"/>
        <v>0</v>
      </c>
      <c r="Q11" s="15"/>
      <c r="U11" s="1"/>
      <c r="V11" s="1"/>
      <c r="W11" s="1"/>
      <c r="X11" s="5"/>
      <c r="Y11" s="5"/>
      <c r="Z11" s="5"/>
      <c r="AA11" s="5"/>
      <c r="AB11" s="5"/>
      <c r="AC11" s="5"/>
      <c r="AD11" s="1"/>
      <c r="AE11" s="1"/>
    </row>
    <row r="12" spans="1:31" s="18" customFormat="1" ht="19.899999999999999" customHeight="1" x14ac:dyDescent="0.25">
      <c r="A12" s="18" t="s">
        <v>33</v>
      </c>
      <c r="B12" s="15"/>
      <c r="C12" s="15"/>
      <c r="D12" s="15"/>
      <c r="E12" s="15"/>
      <c r="F12" s="15"/>
      <c r="G12" s="30"/>
      <c r="H12" s="15"/>
      <c r="I12" s="15"/>
      <c r="J12" s="15"/>
      <c r="K12" s="15"/>
      <c r="L12" s="15"/>
      <c r="M12" s="15"/>
      <c r="N12" s="15"/>
      <c r="O12" s="30"/>
      <c r="P12" s="20">
        <f t="shared" si="1"/>
        <v>0</v>
      </c>
      <c r="Q12" s="15"/>
      <c r="U12" s="1"/>
      <c r="V12" s="1"/>
      <c r="W12" s="1"/>
      <c r="X12" s="5"/>
      <c r="Y12" s="5"/>
      <c r="Z12" s="5"/>
      <c r="AA12" s="5"/>
      <c r="AB12" s="5"/>
      <c r="AC12" s="5"/>
      <c r="AD12" s="1"/>
      <c r="AE12" s="1"/>
    </row>
    <row r="13" spans="1:31" s="18" customFormat="1" ht="19.899999999999999" customHeight="1" x14ac:dyDescent="0.25">
      <c r="A13" s="18" t="s">
        <v>34</v>
      </c>
      <c r="B13" s="1">
        <v>137.4</v>
      </c>
      <c r="C13" s="1">
        <v>137.4</v>
      </c>
      <c r="D13" s="1">
        <v>137.4</v>
      </c>
      <c r="E13" s="1">
        <v>137.4</v>
      </c>
      <c r="F13" s="1">
        <v>137.4</v>
      </c>
      <c r="G13" s="12"/>
      <c r="H13" s="1">
        <v>137.4</v>
      </c>
      <c r="I13" s="1">
        <v>137.4</v>
      </c>
      <c r="J13" s="1">
        <v>68.7</v>
      </c>
      <c r="K13" s="1">
        <v>137.4</v>
      </c>
      <c r="L13" s="1">
        <v>137.4</v>
      </c>
      <c r="M13" s="1">
        <v>137.4</v>
      </c>
      <c r="N13" s="1">
        <v>103.05</v>
      </c>
      <c r="O13" s="30"/>
      <c r="P13" s="20">
        <f t="shared" si="1"/>
        <v>1545.75</v>
      </c>
      <c r="Q13" s="15"/>
      <c r="U13" s="1"/>
      <c r="V13" s="1"/>
      <c r="W13" s="1"/>
      <c r="X13" s="5"/>
      <c r="Y13" s="5"/>
      <c r="Z13" s="5"/>
      <c r="AA13" s="5"/>
      <c r="AB13" s="5"/>
      <c r="AC13" s="5"/>
      <c r="AD13" s="1"/>
      <c r="AE13" s="1"/>
    </row>
    <row r="14" spans="1:31" s="18" customFormat="1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30"/>
      <c r="P14" s="20">
        <f t="shared" si="1"/>
        <v>0</v>
      </c>
      <c r="Q14" s="25"/>
      <c r="R14" s="25"/>
      <c r="U14"/>
      <c r="V14" s="1"/>
      <c r="W14" s="1"/>
      <c r="X14" s="5"/>
      <c r="Y14" s="5"/>
      <c r="Z14" s="5"/>
      <c r="AA14" s="5"/>
      <c r="AB14" s="5"/>
      <c r="AC14" s="5"/>
      <c r="AD14" s="1"/>
      <c r="AE14" s="1"/>
    </row>
    <row r="15" spans="1:31" s="24" customFormat="1" ht="19.899999999999999" customHeight="1" x14ac:dyDescent="0.3">
      <c r="A15" s="21" t="s">
        <v>25</v>
      </c>
      <c r="B15" s="8">
        <f t="shared" ref="B15:G15" si="5">SUM(B10:B14)</f>
        <v>4838.54</v>
      </c>
      <c r="C15" s="8">
        <f t="shared" si="5"/>
        <v>4838.54</v>
      </c>
      <c r="D15" s="8">
        <f t="shared" si="5"/>
        <v>4838.54</v>
      </c>
      <c r="E15" s="8">
        <f t="shared" si="5"/>
        <v>4870.79</v>
      </c>
      <c r="F15" s="8">
        <f t="shared" si="5"/>
        <v>4870.79</v>
      </c>
      <c r="G15" s="8">
        <f t="shared" si="5"/>
        <v>3464.03</v>
      </c>
      <c r="H15" s="8">
        <f t="shared" ref="H15:N15" si="6">SUM(H10:H14)</f>
        <v>4870.79</v>
      </c>
      <c r="I15" s="8">
        <f t="shared" si="6"/>
        <v>4870.79</v>
      </c>
      <c r="J15" s="8">
        <f t="shared" si="6"/>
        <v>4802.09</v>
      </c>
      <c r="K15" s="8">
        <f t="shared" si="6"/>
        <v>4870.79</v>
      </c>
      <c r="L15" s="8">
        <f t="shared" si="6"/>
        <v>4870.79</v>
      </c>
      <c r="M15" s="8">
        <f t="shared" si="6"/>
        <v>4870.79</v>
      </c>
      <c r="N15" s="8">
        <f t="shared" si="6"/>
        <v>4836.4399999999996</v>
      </c>
      <c r="O15" s="16">
        <f t="shared" ref="O15:P15" si="7">SUM(O10:O14)</f>
        <v>4733.3900000000003</v>
      </c>
      <c r="P15" s="22">
        <f t="shared" si="7"/>
        <v>66447.100000000006</v>
      </c>
      <c r="Q15" s="25"/>
      <c r="R15" s="25"/>
      <c r="U15"/>
      <c r="V15" s="11"/>
      <c r="W15" s="11"/>
      <c r="X15" s="5"/>
      <c r="Y15" s="5"/>
      <c r="Z15" s="5"/>
      <c r="AA15" s="5"/>
      <c r="AB15" s="5"/>
      <c r="AC15" s="5"/>
      <c r="AD15" s="1"/>
      <c r="AE15" s="11"/>
    </row>
    <row r="16" spans="1:31" s="18" customFormat="1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7" t="s">
        <v>35</v>
      </c>
      <c r="P16" s="17">
        <f>SUM(B15:O15)</f>
        <v>66447.100000000006</v>
      </c>
      <c r="Q16" s="15"/>
      <c r="U16" s="1"/>
      <c r="V16" s="1"/>
      <c r="W16" s="1"/>
      <c r="X16" s="5"/>
      <c r="Y16" s="5"/>
      <c r="Z16" s="5"/>
      <c r="AA16" s="5"/>
      <c r="AB16" s="5"/>
      <c r="AC16" s="5"/>
      <c r="AD16" s="1"/>
      <c r="AE16" s="1"/>
    </row>
    <row r="17" spans="1:31" s="24" customFormat="1" ht="19.899999999999999" customHeight="1" x14ac:dyDescent="0.3">
      <c r="A17" s="21" t="s">
        <v>20</v>
      </c>
      <c r="B17" s="8">
        <f>B4*18.8%</f>
        <v>703.93</v>
      </c>
      <c r="C17" s="8">
        <f t="shared" ref="C17:N17" si="8">C4*18.8%</f>
        <v>703.93</v>
      </c>
      <c r="D17" s="8">
        <f t="shared" si="8"/>
        <v>703.93</v>
      </c>
      <c r="E17" s="8">
        <f t="shared" si="8"/>
        <v>708.76</v>
      </c>
      <c r="F17" s="8">
        <f t="shared" si="8"/>
        <v>708.76</v>
      </c>
      <c r="G17" s="8">
        <f t="shared" si="8"/>
        <v>0</v>
      </c>
      <c r="H17" s="8">
        <f t="shared" si="8"/>
        <v>708.76</v>
      </c>
      <c r="I17" s="8">
        <f t="shared" si="8"/>
        <v>708.76</v>
      </c>
      <c r="J17" s="8">
        <f t="shared" si="8"/>
        <v>708.76</v>
      </c>
      <c r="K17" s="8">
        <f t="shared" si="8"/>
        <v>708.76</v>
      </c>
      <c r="L17" s="8">
        <f t="shared" si="8"/>
        <v>708.76</v>
      </c>
      <c r="M17" s="8">
        <f t="shared" si="8"/>
        <v>708.76</v>
      </c>
      <c r="N17" s="8">
        <f t="shared" si="8"/>
        <v>708.76</v>
      </c>
      <c r="O17" s="16"/>
      <c r="P17" s="22">
        <f>SUM(B17:O17)</f>
        <v>8490.6299999999992</v>
      </c>
      <c r="Q17" s="23"/>
      <c r="U17" s="11"/>
      <c r="V17" s="11"/>
      <c r="W17" s="11"/>
      <c r="X17" s="5"/>
      <c r="Y17" s="5"/>
      <c r="Z17" s="5"/>
      <c r="AA17" s="5"/>
      <c r="AB17" s="5"/>
      <c r="AC17" s="5"/>
      <c r="AD17" s="1"/>
      <c r="AE17" s="11"/>
    </row>
    <row r="18" spans="1:31" s="24" customFormat="1" ht="19.899999999999999" customHeight="1" x14ac:dyDescent="0.3">
      <c r="A18" s="21" t="s">
        <v>21</v>
      </c>
      <c r="B18" s="8">
        <f>$O10/12</f>
        <v>394.45</v>
      </c>
      <c r="C18" s="8">
        <f t="shared" ref="C18:N18" si="9">$O10/12</f>
        <v>394.45</v>
      </c>
      <c r="D18" s="8">
        <f t="shared" si="9"/>
        <v>394.45</v>
      </c>
      <c r="E18" s="8">
        <f t="shared" si="9"/>
        <v>394.45</v>
      </c>
      <c r="F18" s="8">
        <f t="shared" si="9"/>
        <v>394.45</v>
      </c>
      <c r="G18" s="8"/>
      <c r="H18" s="8">
        <f t="shared" si="9"/>
        <v>394.45</v>
      </c>
      <c r="I18" s="8">
        <f t="shared" si="9"/>
        <v>394.45</v>
      </c>
      <c r="J18" s="8">
        <f t="shared" si="9"/>
        <v>394.45</v>
      </c>
      <c r="K18" s="8">
        <f t="shared" si="9"/>
        <v>394.45</v>
      </c>
      <c r="L18" s="8">
        <f t="shared" si="9"/>
        <v>394.45</v>
      </c>
      <c r="M18" s="8">
        <f t="shared" si="9"/>
        <v>394.45</v>
      </c>
      <c r="N18" s="8">
        <f t="shared" si="9"/>
        <v>394.45</v>
      </c>
      <c r="O18" s="16"/>
      <c r="P18" s="22">
        <f>SUM(B18:O18)</f>
        <v>4733.3999999999996</v>
      </c>
      <c r="Q18" s="23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8" customForma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2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24" customFormat="1" ht="19.899999999999999" customHeight="1" x14ac:dyDescent="0.3">
      <c r="A20" s="21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6"/>
      <c r="P20" s="22">
        <f>SUM(B20:O20)</f>
        <v>0</v>
      </c>
      <c r="Q20" s="23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8" customFormat="1" ht="12.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2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3">
      <c r="B22" s="1">
        <f t="shared" ref="B22:F22" si="10">B13/6.87</f>
        <v>20</v>
      </c>
      <c r="C22" s="1">
        <f t="shared" si="10"/>
        <v>20</v>
      </c>
      <c r="D22" s="1">
        <f t="shared" si="10"/>
        <v>20</v>
      </c>
      <c r="E22" s="1">
        <f t="shared" si="10"/>
        <v>20</v>
      </c>
      <c r="F22" s="1">
        <f t="shared" si="10"/>
        <v>20</v>
      </c>
      <c r="H22" s="1">
        <f>H13/6.87</f>
        <v>20</v>
      </c>
      <c r="I22" s="1">
        <f t="shared" ref="I22:N22" si="11">I13/6.87</f>
        <v>20</v>
      </c>
      <c r="J22" s="1">
        <f t="shared" si="11"/>
        <v>10</v>
      </c>
      <c r="K22" s="1">
        <f t="shared" si="11"/>
        <v>20</v>
      </c>
      <c r="L22" s="1">
        <f t="shared" si="11"/>
        <v>20</v>
      </c>
      <c r="M22" s="1">
        <f t="shared" si="11"/>
        <v>20</v>
      </c>
      <c r="N22" s="1">
        <f t="shared" si="11"/>
        <v>15</v>
      </c>
      <c r="O22" s="13"/>
      <c r="P22" s="2">
        <f>SUM(B22:O22)</f>
        <v>225</v>
      </c>
    </row>
    <row r="23" spans="1:31" s="18" customFormat="1" x14ac:dyDescent="0.3">
      <c r="O23" s="25"/>
      <c r="P23" s="2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8" customFormat="1" x14ac:dyDescent="0.3">
      <c r="P24" s="2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8" customFormat="1" x14ac:dyDescent="0.3">
      <c r="P25" s="2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18" customFormat="1" x14ac:dyDescent="0.3">
      <c r="P26" s="2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18" customFormat="1" x14ac:dyDescent="0.3">
      <c r="P27" s="26"/>
      <c r="U27" s="1"/>
      <c r="V27" s="1"/>
      <c r="W27" s="87"/>
      <c r="X27" s="1"/>
      <c r="Y27" s="1"/>
      <c r="Z27" s="1"/>
      <c r="AA27" s="1"/>
      <c r="AB27" s="1"/>
      <c r="AC27" s="1"/>
      <c r="AD27" s="1"/>
      <c r="AE27" s="1"/>
    </row>
    <row r="28" spans="1:31" x14ac:dyDescent="0.3">
      <c r="W28" s="87"/>
    </row>
    <row r="29" spans="1:31" x14ac:dyDescent="0.3">
      <c r="W29" s="87"/>
    </row>
    <row r="32" spans="1:31" x14ac:dyDescent="0.3">
      <c r="W32" s="87"/>
    </row>
  </sheetData>
  <phoneticPr fontId="6" type="noConversion"/>
  <printOptions horizontalCentered="1"/>
  <pageMargins left="0.19652777777777777" right="0.19652777777777777" top="0.78749999999999998" bottom="1.2194444444444446" header="0.51180555555555562" footer="0.78749999999999998"/>
  <pageSetup paperSize="9" firstPageNumber="0" orientation="landscape" horizontalDpi="300" verticalDpi="300" r:id="rId1"/>
  <headerFooter alignWithMargins="0">
    <oddFooter xml:space="preserve">&amp;L&amp;"Times New Roman,Normal"&amp;9NOMSOCIETE&amp;C&amp;"Times New Roman,Normal"&amp;12Page &amp;P&amp;R&amp;"Times New Roman,Normal"&amp;12&amp;F
&amp;A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E32"/>
  <sheetViews>
    <sheetView showZeros="0" showOutlineSymbols="0" zoomScaleNormal="100" workbookViewId="0">
      <selection activeCell="E4" sqref="E4"/>
    </sheetView>
  </sheetViews>
  <sheetFormatPr defaultColWidth="11.7265625" defaultRowHeight="13" x14ac:dyDescent="0.3"/>
  <cols>
    <col min="1" max="1" width="15.81640625" style="1" customWidth="1"/>
    <col min="2" max="2" width="8.54296875" style="1" customWidth="1"/>
    <col min="3" max="3" width="10.453125" style="1" customWidth="1"/>
    <col min="4" max="15" width="8.54296875" style="1" customWidth="1"/>
    <col min="16" max="16" width="8.81640625" style="2" customWidth="1"/>
    <col min="17" max="17" width="8.54296875" style="1" customWidth="1"/>
    <col min="18" max="16384" width="11.7265625" style="1"/>
  </cols>
  <sheetData>
    <row r="1" spans="1:31" ht="15.5" x14ac:dyDescent="0.35">
      <c r="A1" s="3" t="s">
        <v>39</v>
      </c>
      <c r="H1" s="18"/>
      <c r="I1" s="18"/>
      <c r="J1" s="18"/>
      <c r="K1" s="18"/>
      <c r="L1" s="18"/>
      <c r="M1" s="18"/>
      <c r="N1" s="18"/>
      <c r="O1" s="18"/>
    </row>
    <row r="2" spans="1:31" x14ac:dyDescent="0.3">
      <c r="M2" s="18"/>
      <c r="N2" s="18"/>
      <c r="O2" s="18"/>
    </row>
    <row r="3" spans="1:31" s="18" customFormat="1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25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8" customFormat="1" ht="19.899999999999999" customHeight="1" x14ac:dyDescent="0.25">
      <c r="A4" s="18" t="s">
        <v>26</v>
      </c>
      <c r="B4" s="5">
        <f>'2018'!D10</f>
        <v>4129.9799999999996</v>
      </c>
      <c r="C4" s="5">
        <f>B4</f>
        <v>4129.9799999999996</v>
      </c>
      <c r="D4" s="5">
        <f t="shared" ref="D4:N4" si="0">C4</f>
        <v>4129.9799999999996</v>
      </c>
      <c r="E4" s="176">
        <f>D4+120</f>
        <v>4249.9799999999996</v>
      </c>
      <c r="F4" s="5">
        <f t="shared" si="0"/>
        <v>4249.9799999999996</v>
      </c>
      <c r="G4" s="1"/>
      <c r="H4" s="5">
        <f>I4</f>
        <v>4129.9799999999996</v>
      </c>
      <c r="I4" s="5">
        <f>'2018'!C10*'2018'!C$5</f>
        <v>4129.9799999999996</v>
      </c>
      <c r="J4" s="5">
        <f t="shared" si="0"/>
        <v>4129.9799999999996</v>
      </c>
      <c r="K4" s="5">
        <f>J4</f>
        <v>4129.9799999999996</v>
      </c>
      <c r="L4" s="5">
        <f t="shared" si="0"/>
        <v>4129.9799999999996</v>
      </c>
      <c r="M4" s="5">
        <f t="shared" si="0"/>
        <v>4129.9799999999996</v>
      </c>
      <c r="N4" s="5">
        <f t="shared" si="0"/>
        <v>4129.9799999999996</v>
      </c>
      <c r="O4" s="5">
        <f>N4</f>
        <v>4129.9799999999996</v>
      </c>
      <c r="P4" s="20">
        <f t="shared" ref="P4:P14" si="1">SUM(B4:O4)</f>
        <v>53929.74</v>
      </c>
      <c r="Q4" s="15"/>
      <c r="R4" s="18">
        <f>O4+N4</f>
        <v>8259.9599999999991</v>
      </c>
      <c r="U4" s="1"/>
      <c r="V4" s="70"/>
      <c r="W4" s="1"/>
      <c r="X4" s="5"/>
      <c r="Y4" s="5"/>
      <c r="Z4" s="5"/>
      <c r="AA4" s="5"/>
      <c r="AB4" s="5"/>
      <c r="AC4" s="5"/>
      <c r="AD4" s="1"/>
      <c r="AE4" s="1"/>
    </row>
    <row r="5" spans="1:31" s="18" customFormat="1" ht="19.899999999999999" customHeight="1" x14ac:dyDescent="0.25">
      <c r="A5" s="18" t="s">
        <v>27</v>
      </c>
      <c r="B5" s="5"/>
      <c r="C5" s="5"/>
      <c r="D5" s="5"/>
      <c r="E5" s="5"/>
      <c r="F5" s="5"/>
      <c r="G5" s="15">
        <f>F4*0.92</f>
        <v>3909.98</v>
      </c>
      <c r="H5" s="5"/>
      <c r="I5" s="5"/>
      <c r="J5" s="5"/>
      <c r="K5" s="5"/>
      <c r="L5" s="5"/>
      <c r="M5" s="5"/>
      <c r="N5" s="5"/>
      <c r="O5" s="5"/>
      <c r="P5" s="20">
        <f t="shared" si="1"/>
        <v>3909.98</v>
      </c>
      <c r="Q5" s="15"/>
      <c r="U5" s="1"/>
      <c r="V5" s="1"/>
      <c r="W5" s="1"/>
      <c r="X5" s="5"/>
      <c r="Y5" s="5"/>
      <c r="Z5" s="5"/>
      <c r="AA5" s="5"/>
      <c r="AB5" s="5"/>
      <c r="AC5" s="5"/>
      <c r="AD5" s="1"/>
      <c r="AE5" s="1"/>
    </row>
    <row r="6" spans="1:31" ht="19.899999999999999" customHeight="1" x14ac:dyDescent="0.25">
      <c r="A6" s="1" t="s">
        <v>28</v>
      </c>
      <c r="B6" s="5">
        <f>B4*25.68%</f>
        <v>1060.58</v>
      </c>
      <c r="C6" s="5">
        <f t="shared" ref="C6:O6" si="2">C4*25.68%</f>
        <v>1060.58</v>
      </c>
      <c r="D6" s="5">
        <f t="shared" si="2"/>
        <v>1060.58</v>
      </c>
      <c r="E6" s="5">
        <f t="shared" si="2"/>
        <v>1091.3900000000001</v>
      </c>
      <c r="F6" s="5">
        <f t="shared" si="2"/>
        <v>1091.3900000000001</v>
      </c>
      <c r="G6" s="5">
        <f t="shared" si="2"/>
        <v>0</v>
      </c>
      <c r="H6" s="5">
        <f t="shared" si="2"/>
        <v>1060.58</v>
      </c>
      <c r="I6" s="5">
        <f t="shared" si="2"/>
        <v>1060.58</v>
      </c>
      <c r="J6" s="5">
        <f t="shared" si="2"/>
        <v>1060.58</v>
      </c>
      <c r="K6" s="5">
        <f t="shared" si="2"/>
        <v>1060.58</v>
      </c>
      <c r="L6" s="5">
        <f t="shared" si="2"/>
        <v>1060.58</v>
      </c>
      <c r="M6" s="5">
        <f t="shared" si="2"/>
        <v>1060.58</v>
      </c>
      <c r="N6" s="5">
        <f t="shared" si="2"/>
        <v>1060.58</v>
      </c>
      <c r="O6" s="5">
        <f t="shared" si="2"/>
        <v>1060.58</v>
      </c>
      <c r="P6" s="6">
        <f>SUM(B6:O6)</f>
        <v>13849.16</v>
      </c>
      <c r="Q6" s="5">
        <f>N6+O6</f>
        <v>2121.16</v>
      </c>
      <c r="R6" s="70"/>
      <c r="U6" s="70"/>
      <c r="V6" s="80"/>
      <c r="X6" s="5"/>
      <c r="Y6" s="5"/>
      <c r="Z6" s="5"/>
      <c r="AA6" s="5"/>
      <c r="AB6" s="5"/>
      <c r="AC6" s="5"/>
    </row>
    <row r="7" spans="1:31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>SUM(B7:O7)</f>
        <v>0</v>
      </c>
      <c r="Q7" s="5"/>
      <c r="R7" s="1">
        <f>M6/M4</f>
        <v>0.26</v>
      </c>
      <c r="V7" s="91"/>
      <c r="X7" s="5"/>
      <c r="Y7" s="5"/>
      <c r="Z7" s="5"/>
      <c r="AA7" s="5"/>
      <c r="AB7" s="5"/>
      <c r="AC7" s="5"/>
    </row>
    <row r="8" spans="1:31" ht="19.899999999999999" customHeight="1" x14ac:dyDescent="0.25">
      <c r="A8" s="1" t="s">
        <v>30</v>
      </c>
      <c r="B8" s="5">
        <f t="shared" ref="B8:O8" si="3">-B4*0.126%</f>
        <v>-5.2</v>
      </c>
      <c r="C8" s="5">
        <f t="shared" si="3"/>
        <v>-5.2</v>
      </c>
      <c r="D8" s="5">
        <f t="shared" si="3"/>
        <v>-5.2</v>
      </c>
      <c r="E8" s="5">
        <f t="shared" si="3"/>
        <v>-5.35</v>
      </c>
      <c r="F8" s="5">
        <f t="shared" si="3"/>
        <v>-5.35</v>
      </c>
      <c r="G8" s="5">
        <f>-G5*0.126%</f>
        <v>-4.93</v>
      </c>
      <c r="H8" s="5">
        <f t="shared" si="3"/>
        <v>-5.2</v>
      </c>
      <c r="I8" s="5">
        <f t="shared" si="3"/>
        <v>-5.2</v>
      </c>
      <c r="J8" s="5">
        <f t="shared" si="3"/>
        <v>-5.2</v>
      </c>
      <c r="K8" s="5">
        <f t="shared" si="3"/>
        <v>-5.2</v>
      </c>
      <c r="L8" s="5">
        <f t="shared" si="3"/>
        <v>-5.2</v>
      </c>
      <c r="M8" s="5">
        <f t="shared" si="3"/>
        <v>-5.2</v>
      </c>
      <c r="N8" s="5">
        <f t="shared" si="3"/>
        <v>-5.2</v>
      </c>
      <c r="O8" s="5">
        <f t="shared" si="3"/>
        <v>-5.2</v>
      </c>
      <c r="P8" s="6">
        <f>SUM(B8:O8)</f>
        <v>-72.83</v>
      </c>
      <c r="Q8" s="5"/>
      <c r="R8" s="67"/>
      <c r="U8" s="67"/>
      <c r="X8" s="5"/>
      <c r="Y8" s="5"/>
      <c r="Z8" s="5"/>
      <c r="AA8" s="5"/>
      <c r="AB8" s="5"/>
      <c r="AC8" s="5"/>
    </row>
    <row r="9" spans="1:31" s="18" customFormat="1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0">
        <f t="shared" si="1"/>
        <v>0</v>
      </c>
      <c r="Q9" s="15"/>
      <c r="U9" s="1"/>
      <c r="V9" s="1"/>
      <c r="W9" s="1"/>
      <c r="X9" s="1"/>
      <c r="Y9" s="5"/>
      <c r="Z9" s="5"/>
      <c r="AA9" s="5"/>
      <c r="AB9" s="5"/>
      <c r="AC9" s="5"/>
      <c r="AD9" s="1"/>
      <c r="AE9" s="1"/>
    </row>
    <row r="10" spans="1:31" s="24" customFormat="1" ht="19.899999999999999" customHeight="1" x14ac:dyDescent="0.3">
      <c r="A10" s="21" t="s">
        <v>31</v>
      </c>
      <c r="B10" s="16">
        <f t="shared" ref="B10:O10" si="4">SUM(B4:B9)</f>
        <v>5185.3599999999997</v>
      </c>
      <c r="C10" s="16">
        <f t="shared" si="4"/>
        <v>5185.3599999999997</v>
      </c>
      <c r="D10" s="16">
        <f t="shared" si="4"/>
        <v>5185.3599999999997</v>
      </c>
      <c r="E10" s="16">
        <f t="shared" si="4"/>
        <v>5336.02</v>
      </c>
      <c r="F10" s="16">
        <f t="shared" si="4"/>
        <v>5336.02</v>
      </c>
      <c r="G10" s="16">
        <f>SUM(G5:G9)</f>
        <v>3905.05</v>
      </c>
      <c r="H10" s="16">
        <f t="shared" si="4"/>
        <v>5185.3599999999997</v>
      </c>
      <c r="I10" s="16">
        <f t="shared" ref="I10:N10" si="5">SUM(I4:I9)</f>
        <v>5185.3599999999997</v>
      </c>
      <c r="J10" s="16">
        <f t="shared" si="5"/>
        <v>5185.3599999999997</v>
      </c>
      <c r="K10" s="16">
        <f t="shared" si="5"/>
        <v>5185.3599999999997</v>
      </c>
      <c r="L10" s="16">
        <f t="shared" si="5"/>
        <v>5185.3599999999997</v>
      </c>
      <c r="M10" s="16">
        <f t="shared" si="5"/>
        <v>5185.3599999999997</v>
      </c>
      <c r="N10" s="16">
        <f t="shared" si="5"/>
        <v>5185.3599999999997</v>
      </c>
      <c r="O10" s="16">
        <f t="shared" si="4"/>
        <v>5185.3599999999997</v>
      </c>
      <c r="P10" s="22">
        <f t="shared" si="1"/>
        <v>71616.05</v>
      </c>
      <c r="Q10" s="23"/>
      <c r="T10" s="18"/>
      <c r="U10" s="11"/>
      <c r="V10" s="11"/>
      <c r="W10" s="11"/>
      <c r="X10" s="5"/>
      <c r="Y10" s="5"/>
      <c r="Z10" s="5"/>
      <c r="AA10" s="5"/>
      <c r="AB10" s="5"/>
      <c r="AC10" s="5"/>
      <c r="AD10" s="1"/>
      <c r="AE10" s="11"/>
    </row>
    <row r="11" spans="1:31" s="18" customFormat="1" ht="19.899999999999999" customHeight="1" x14ac:dyDescent="0.25">
      <c r="A11" s="18" t="s">
        <v>32</v>
      </c>
      <c r="B11" s="15"/>
      <c r="C11" s="15"/>
      <c r="D11" s="15"/>
      <c r="E11" s="15"/>
      <c r="F11" s="15"/>
      <c r="G11" s="30"/>
      <c r="H11" s="15"/>
      <c r="I11" s="15"/>
      <c r="J11" s="15"/>
      <c r="K11" s="15"/>
      <c r="L11" s="15"/>
      <c r="M11" s="15"/>
      <c r="N11" s="15"/>
      <c r="O11" s="30"/>
      <c r="P11" s="20">
        <f t="shared" si="1"/>
        <v>0</v>
      </c>
      <c r="Q11" s="15"/>
      <c r="U11" s="1"/>
      <c r="V11" s="1"/>
      <c r="W11" s="1"/>
      <c r="X11" s="5"/>
      <c r="Y11" s="5"/>
      <c r="Z11" s="5"/>
      <c r="AA11" s="5"/>
      <c r="AB11" s="5"/>
      <c r="AC11" s="5"/>
      <c r="AD11" s="1"/>
      <c r="AE11" s="1"/>
    </row>
    <row r="12" spans="1:31" s="18" customFormat="1" ht="19.899999999999999" customHeight="1" x14ac:dyDescent="0.25">
      <c r="A12" s="18" t="s">
        <v>75</v>
      </c>
      <c r="B12" s="15"/>
      <c r="C12" s="15"/>
      <c r="D12" s="15"/>
      <c r="E12" s="15">
        <v>581</v>
      </c>
      <c r="F12" s="15"/>
      <c r="G12" s="30"/>
      <c r="H12" s="15"/>
      <c r="I12" s="15"/>
      <c r="J12" s="15"/>
      <c r="K12" s="15"/>
      <c r="L12" s="15"/>
      <c r="M12" s="15"/>
      <c r="N12" s="15"/>
      <c r="O12" s="30"/>
      <c r="P12" s="20">
        <f t="shared" si="1"/>
        <v>581</v>
      </c>
      <c r="Q12" s="15"/>
      <c r="U12" s="1"/>
      <c r="V12" s="1"/>
      <c r="W12" s="1"/>
      <c r="X12" s="5"/>
      <c r="Y12" s="5"/>
      <c r="Z12" s="5"/>
      <c r="AA12" s="5"/>
      <c r="AB12" s="5"/>
      <c r="AC12" s="5"/>
      <c r="AD12" s="1"/>
      <c r="AE12" s="1"/>
    </row>
    <row r="13" spans="1:31" s="18" customFormat="1" ht="19.899999999999999" customHeight="1" x14ac:dyDescent="0.25">
      <c r="A13" s="18" t="s">
        <v>34</v>
      </c>
      <c r="B13" s="1">
        <v>137.4</v>
      </c>
      <c r="C13" s="1">
        <v>137.4</v>
      </c>
      <c r="D13" s="1">
        <v>137.4</v>
      </c>
      <c r="E13" s="1">
        <v>137.4</v>
      </c>
      <c r="F13" s="1">
        <v>137.4</v>
      </c>
      <c r="G13" s="12"/>
      <c r="H13" s="1">
        <f>I13</f>
        <v>137.4</v>
      </c>
      <c r="I13" s="1">
        <v>137.4</v>
      </c>
      <c r="J13" s="1">
        <v>68.7</v>
      </c>
      <c r="K13" s="1">
        <v>137.4</v>
      </c>
      <c r="L13" s="1">
        <v>137.4</v>
      </c>
      <c r="M13" s="1">
        <v>137.4</v>
      </c>
      <c r="N13" s="1">
        <v>103.05</v>
      </c>
      <c r="O13" s="30"/>
      <c r="P13" s="20">
        <f t="shared" si="1"/>
        <v>1545.75</v>
      </c>
      <c r="Q13" s="15"/>
      <c r="U13" s="1"/>
      <c r="V13" s="1"/>
      <c r="W13" s="1"/>
      <c r="X13" s="5"/>
      <c r="Y13" s="5"/>
      <c r="Z13" s="5"/>
      <c r="AA13" s="5"/>
      <c r="AB13" s="5"/>
      <c r="AC13" s="5"/>
      <c r="AD13" s="1"/>
      <c r="AE13" s="1"/>
    </row>
    <row r="14" spans="1:31" s="18" customFormat="1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30"/>
      <c r="P14" s="20">
        <f t="shared" si="1"/>
        <v>0</v>
      </c>
      <c r="Q14" s="25"/>
      <c r="R14" s="25"/>
      <c r="U14"/>
      <c r="V14" s="1"/>
      <c r="W14" s="1"/>
      <c r="X14" s="5"/>
      <c r="Y14" s="5"/>
      <c r="Z14" s="5"/>
      <c r="AA14" s="5"/>
      <c r="AB14" s="5"/>
      <c r="AC14" s="5"/>
      <c r="AD14" s="1"/>
      <c r="AE14" s="1"/>
    </row>
    <row r="15" spans="1:31" s="24" customFormat="1" ht="19.899999999999999" customHeight="1" x14ac:dyDescent="0.3">
      <c r="A15" s="21" t="s">
        <v>25</v>
      </c>
      <c r="B15" s="8">
        <f t="shared" ref="B15:G15" si="6">SUM(B10:B14)</f>
        <v>5322.76</v>
      </c>
      <c r="C15" s="8">
        <f t="shared" si="6"/>
        <v>5322.76</v>
      </c>
      <c r="D15" s="8">
        <f t="shared" si="6"/>
        <v>5322.76</v>
      </c>
      <c r="E15" s="8">
        <f t="shared" si="6"/>
        <v>6054.42</v>
      </c>
      <c r="F15" s="8">
        <f t="shared" si="6"/>
        <v>5473.42</v>
      </c>
      <c r="G15" s="8">
        <f t="shared" si="6"/>
        <v>3905.05</v>
      </c>
      <c r="H15" s="8">
        <f t="shared" ref="H15:N15" si="7">SUM(H10:H14)</f>
        <v>5322.76</v>
      </c>
      <c r="I15" s="8">
        <f t="shared" si="7"/>
        <v>5322.76</v>
      </c>
      <c r="J15" s="8">
        <f t="shared" si="7"/>
        <v>5254.06</v>
      </c>
      <c r="K15" s="8">
        <f t="shared" si="7"/>
        <v>5322.76</v>
      </c>
      <c r="L15" s="8">
        <f t="shared" si="7"/>
        <v>5322.76</v>
      </c>
      <c r="M15" s="8">
        <f t="shared" si="7"/>
        <v>5322.76</v>
      </c>
      <c r="N15" s="8">
        <f t="shared" si="7"/>
        <v>5288.41</v>
      </c>
      <c r="O15" s="16">
        <f t="shared" ref="O15:P15" si="8">SUM(O10:O14)</f>
        <v>5185.3599999999997</v>
      </c>
      <c r="P15" s="22">
        <f t="shared" si="8"/>
        <v>73742.8</v>
      </c>
      <c r="Q15" s="25"/>
      <c r="R15" s="25"/>
      <c r="T15" s="18"/>
      <c r="U15"/>
      <c r="V15" s="11"/>
      <c r="W15" s="11"/>
      <c r="X15" s="5"/>
      <c r="Y15" s="5"/>
      <c r="Z15" s="5"/>
      <c r="AA15" s="5"/>
      <c r="AB15" s="5"/>
      <c r="AC15" s="5"/>
      <c r="AD15" s="1"/>
      <c r="AE15" s="11"/>
    </row>
    <row r="16" spans="1:31" s="18" customFormat="1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7" t="s">
        <v>35</v>
      </c>
      <c r="P16" s="17">
        <f>SUM(B15:O15)</f>
        <v>73742.8</v>
      </c>
      <c r="Q16" s="15"/>
      <c r="U16" s="1"/>
      <c r="V16" s="1"/>
      <c r="W16" s="1"/>
      <c r="X16" s="5"/>
      <c r="Y16" s="5"/>
      <c r="Z16" s="5"/>
      <c r="AA16" s="5"/>
      <c r="AB16" s="5"/>
      <c r="AC16" s="5"/>
      <c r="AD16" s="1"/>
      <c r="AE16" s="1"/>
    </row>
    <row r="17" spans="1:31" s="24" customFormat="1" ht="19.899999999999999" customHeight="1" x14ac:dyDescent="0.3">
      <c r="A17" s="21" t="s">
        <v>20</v>
      </c>
      <c r="B17" s="8">
        <f>B4*18.8%</f>
        <v>776.44</v>
      </c>
      <c r="C17" s="8">
        <f t="shared" ref="C17:N17" si="9">C4*18.8%</f>
        <v>776.44</v>
      </c>
      <c r="D17" s="8">
        <f t="shared" si="9"/>
        <v>776.44</v>
      </c>
      <c r="E17" s="8">
        <f t="shared" si="9"/>
        <v>799</v>
      </c>
      <c r="F17" s="8">
        <f t="shared" si="9"/>
        <v>799</v>
      </c>
      <c r="G17" s="8">
        <f t="shared" si="9"/>
        <v>0</v>
      </c>
      <c r="H17" s="8">
        <f t="shared" si="9"/>
        <v>776.44</v>
      </c>
      <c r="I17" s="8">
        <f t="shared" si="9"/>
        <v>776.44</v>
      </c>
      <c r="J17" s="8">
        <f t="shared" si="9"/>
        <v>776.44</v>
      </c>
      <c r="K17" s="8">
        <f t="shared" si="9"/>
        <v>776.44</v>
      </c>
      <c r="L17" s="8">
        <f t="shared" si="9"/>
        <v>776.44</v>
      </c>
      <c r="M17" s="8">
        <f t="shared" si="9"/>
        <v>776.44</v>
      </c>
      <c r="N17" s="8">
        <f t="shared" si="9"/>
        <v>776.44</v>
      </c>
      <c r="O17" s="16"/>
      <c r="P17" s="22">
        <f>SUM(B17:O17)</f>
        <v>9362.4</v>
      </c>
      <c r="Q17" s="23"/>
      <c r="U17" s="11"/>
      <c r="V17" s="11"/>
      <c r="W17" s="11"/>
      <c r="X17" s="5"/>
      <c r="Y17" s="5"/>
      <c r="Z17" s="5"/>
      <c r="AA17" s="5"/>
      <c r="AB17" s="5"/>
      <c r="AC17" s="5"/>
      <c r="AD17" s="1"/>
      <c r="AE17" s="11"/>
    </row>
    <row r="18" spans="1:31" s="24" customFormat="1" ht="19.899999999999999" customHeight="1" x14ac:dyDescent="0.3">
      <c r="A18" s="21" t="s">
        <v>21</v>
      </c>
      <c r="B18" s="8">
        <f>$O10/12</f>
        <v>432.11</v>
      </c>
      <c r="C18" s="8">
        <f t="shared" ref="C18:N18" si="10">$O10/12</f>
        <v>432.11</v>
      </c>
      <c r="D18" s="8">
        <f t="shared" si="10"/>
        <v>432.11</v>
      </c>
      <c r="E18" s="8">
        <f t="shared" si="10"/>
        <v>432.11</v>
      </c>
      <c r="F18" s="8">
        <f t="shared" si="10"/>
        <v>432.11</v>
      </c>
      <c r="G18" s="8"/>
      <c r="H18" s="8">
        <f t="shared" si="10"/>
        <v>432.11</v>
      </c>
      <c r="I18" s="8">
        <f t="shared" si="10"/>
        <v>432.11</v>
      </c>
      <c r="J18" s="8">
        <f t="shared" si="10"/>
        <v>432.11</v>
      </c>
      <c r="K18" s="8">
        <f t="shared" si="10"/>
        <v>432.11</v>
      </c>
      <c r="L18" s="8">
        <f t="shared" si="10"/>
        <v>432.11</v>
      </c>
      <c r="M18" s="8">
        <f t="shared" si="10"/>
        <v>432.11</v>
      </c>
      <c r="N18" s="8">
        <f t="shared" si="10"/>
        <v>432.11</v>
      </c>
      <c r="O18" s="16"/>
      <c r="P18" s="22">
        <f>SUM(B18:O18)</f>
        <v>5185.32</v>
      </c>
      <c r="Q18" s="23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8" customForma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2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24" customFormat="1" ht="19.899999999999999" customHeight="1" x14ac:dyDescent="0.3">
      <c r="A20" s="21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6"/>
      <c r="P20" s="22">
        <f>SUM(B20:O20)</f>
        <v>0</v>
      </c>
      <c r="Q20" s="23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8" customFormat="1" ht="12.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2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3">
      <c r="B22" s="1">
        <f t="shared" ref="B22:G22" si="11">B13/6.87</f>
        <v>20</v>
      </c>
      <c r="C22" s="1">
        <f t="shared" si="11"/>
        <v>20</v>
      </c>
      <c r="D22" s="1">
        <f t="shared" si="11"/>
        <v>20</v>
      </c>
      <c r="E22" s="1">
        <f t="shared" si="11"/>
        <v>20</v>
      </c>
      <c r="F22" s="1">
        <f t="shared" si="11"/>
        <v>20</v>
      </c>
      <c r="G22" s="1">
        <f t="shared" si="11"/>
        <v>0</v>
      </c>
      <c r="H22" s="1">
        <f>H13/6.87</f>
        <v>20</v>
      </c>
      <c r="I22" s="1">
        <f t="shared" ref="I22:N22" si="12">I13/6.87</f>
        <v>20</v>
      </c>
      <c r="J22" s="1">
        <f t="shared" si="12"/>
        <v>10</v>
      </c>
      <c r="K22" s="1">
        <f t="shared" si="12"/>
        <v>20</v>
      </c>
      <c r="L22" s="1">
        <f t="shared" si="12"/>
        <v>20</v>
      </c>
      <c r="M22" s="1">
        <f t="shared" si="12"/>
        <v>20</v>
      </c>
      <c r="N22" s="1">
        <f t="shared" si="12"/>
        <v>15</v>
      </c>
      <c r="O22" s="13"/>
      <c r="P22" s="2">
        <f>SUM(B22:O22)</f>
        <v>225</v>
      </c>
    </row>
    <row r="23" spans="1:31" s="18" customFormat="1" x14ac:dyDescent="0.3">
      <c r="O23" s="25"/>
      <c r="P23" s="2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8" customFormat="1" x14ac:dyDescent="0.3">
      <c r="P24" s="2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8" customFormat="1" x14ac:dyDescent="0.3">
      <c r="P25" s="2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18" customFormat="1" x14ac:dyDescent="0.3">
      <c r="P26" s="2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18" customFormat="1" x14ac:dyDescent="0.3">
      <c r="P27" s="26"/>
      <c r="U27" s="1"/>
      <c r="V27" s="1"/>
      <c r="W27" s="87"/>
      <c r="X27" s="1"/>
      <c r="Y27" s="1"/>
      <c r="Z27" s="1"/>
      <c r="AA27" s="1"/>
      <c r="AB27" s="1"/>
      <c r="AC27" s="1"/>
      <c r="AD27" s="1"/>
      <c r="AE27" s="1"/>
    </row>
    <row r="28" spans="1:31" x14ac:dyDescent="0.3">
      <c r="W28" s="87"/>
    </row>
    <row r="29" spans="1:31" x14ac:dyDescent="0.3">
      <c r="W29" s="87"/>
    </row>
    <row r="32" spans="1:31" x14ac:dyDescent="0.3">
      <c r="W32" s="87"/>
    </row>
  </sheetData>
  <phoneticPr fontId="6" type="noConversion"/>
  <printOptions horizontalCentered="1"/>
  <pageMargins left="0.19652777777777777" right="0.19652777777777777" top="0.78749999999999998" bottom="1.2194444444444446" header="0.51180555555555562" footer="0.78749999999999998"/>
  <pageSetup paperSize="9" firstPageNumber="0" orientation="landscape" horizontalDpi="300" verticalDpi="300" r:id="rId1"/>
  <headerFooter alignWithMargins="0">
    <oddFooter xml:space="preserve">&amp;L&amp;"Times New Roman,Normal"&amp;9NOMSOCIETE&amp;C&amp;"Times New Roman,Normal"&amp;12Page &amp;P&amp;R&amp;"Times New Roman,Normal"&amp;12&amp;F
&amp;A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D32"/>
  <sheetViews>
    <sheetView showZeros="0" zoomScaleNormal="100" workbookViewId="0">
      <selection activeCell="B13" sqref="B13:F13"/>
    </sheetView>
  </sheetViews>
  <sheetFormatPr defaultColWidth="11.7265625" defaultRowHeight="13" x14ac:dyDescent="0.3"/>
  <cols>
    <col min="1" max="1" width="15.81640625" style="1" customWidth="1"/>
    <col min="2" max="4" width="8.54296875" style="1" customWidth="1"/>
    <col min="5" max="5" width="10.54296875" style="1" customWidth="1"/>
    <col min="6" max="6" width="9.26953125" style="1" customWidth="1"/>
    <col min="7" max="7" width="9.7265625" style="1" customWidth="1"/>
    <col min="8" max="8" width="9.54296875" style="1" customWidth="1"/>
    <col min="9" max="15" width="8.54296875" style="1" customWidth="1"/>
    <col min="16" max="16" width="8.81640625" style="11" customWidth="1"/>
    <col min="17" max="17" width="8.54296875" style="1" customWidth="1"/>
    <col min="18" max="16384" width="11.7265625" style="1"/>
  </cols>
  <sheetData>
    <row r="1" spans="1:30" ht="15.5" x14ac:dyDescent="0.35">
      <c r="A1" s="3" t="s">
        <v>47</v>
      </c>
    </row>
    <row r="2" spans="1:30" ht="12.5" x14ac:dyDescent="0.25">
      <c r="P2" s="1"/>
    </row>
    <row r="3" spans="1:30" ht="19.899999999999999" customHeight="1" x14ac:dyDescent="0.3">
      <c r="B3" s="156" t="s">
        <v>2</v>
      </c>
      <c r="C3" s="156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56" t="s">
        <v>8</v>
      </c>
      <c r="I3" s="156" t="s">
        <v>9</v>
      </c>
      <c r="J3" s="156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4" t="s">
        <v>25</v>
      </c>
    </row>
    <row r="4" spans="1:30" ht="19.899999999999999" customHeight="1" x14ac:dyDescent="0.25">
      <c r="A4" s="1" t="s">
        <v>26</v>
      </c>
      <c r="B4" s="5">
        <f>'2018'!D11</f>
        <v>3220</v>
      </c>
      <c r="C4" s="5">
        <f>B4</f>
        <v>3220</v>
      </c>
      <c r="D4" s="5">
        <f t="shared" ref="D4:F4" si="0">C4</f>
        <v>3220</v>
      </c>
      <c r="E4" s="176">
        <v>3400</v>
      </c>
      <c r="F4" s="5">
        <f t="shared" si="0"/>
        <v>3400</v>
      </c>
      <c r="H4" s="5">
        <f>F4</f>
        <v>3400</v>
      </c>
      <c r="I4" s="5">
        <f>H4</f>
        <v>3400</v>
      </c>
      <c r="J4" s="5">
        <f>I4</f>
        <v>3400</v>
      </c>
      <c r="K4" s="5">
        <f t="shared" ref="K4:O4" si="1">J4</f>
        <v>3400</v>
      </c>
      <c r="L4" s="5">
        <f t="shared" si="1"/>
        <v>3400</v>
      </c>
      <c r="M4" s="5">
        <f t="shared" si="1"/>
        <v>3400</v>
      </c>
      <c r="N4" s="5">
        <f t="shared" si="1"/>
        <v>3400</v>
      </c>
      <c r="O4" s="5">
        <f t="shared" si="1"/>
        <v>3400</v>
      </c>
      <c r="P4" s="6">
        <f t="shared" ref="P4:P5" si="2">SUM(B4:O4)</f>
        <v>43660</v>
      </c>
      <c r="Q4" s="5"/>
      <c r="R4" s="67">
        <f>N4+O4</f>
        <v>6800</v>
      </c>
      <c r="V4" s="70"/>
      <c r="X4" s="5"/>
      <c r="Y4" s="5"/>
      <c r="Z4" s="5"/>
      <c r="AA4" s="5"/>
      <c r="AB4" s="5"/>
      <c r="AC4" s="5"/>
    </row>
    <row r="5" spans="1:30" ht="19.899999999999999" customHeight="1" x14ac:dyDescent="0.25">
      <c r="A5" s="1" t="s">
        <v>27</v>
      </c>
      <c r="B5" s="5"/>
      <c r="C5" s="5"/>
      <c r="D5" s="5"/>
      <c r="E5" s="5"/>
      <c r="F5" s="5"/>
      <c r="G5" s="15">
        <f>F4*0.92</f>
        <v>3128</v>
      </c>
      <c r="H5" s="5"/>
      <c r="I5" s="5"/>
      <c r="J5" s="5"/>
      <c r="K5" s="5"/>
      <c r="L5" s="5"/>
      <c r="M5" s="5"/>
      <c r="N5" s="5"/>
      <c r="O5" s="5"/>
      <c r="P5" s="6">
        <f t="shared" si="2"/>
        <v>3128</v>
      </c>
      <c r="Q5" s="5"/>
      <c r="X5" s="5"/>
      <c r="Y5" s="5"/>
      <c r="Z5" s="5"/>
      <c r="AA5" s="5"/>
      <c r="AB5" s="5"/>
      <c r="AC5" s="5"/>
    </row>
    <row r="6" spans="1:30" ht="19.899999999999999" customHeight="1" x14ac:dyDescent="0.25">
      <c r="A6" s="1" t="s">
        <v>28</v>
      </c>
      <c r="B6" s="5">
        <f>B4*25.68%</f>
        <v>826.9</v>
      </c>
      <c r="C6" s="5">
        <f t="shared" ref="C6:O6" si="3">C4*25.68%</f>
        <v>826.9</v>
      </c>
      <c r="D6" s="5">
        <f t="shared" si="3"/>
        <v>826.9</v>
      </c>
      <c r="E6" s="5">
        <f t="shared" si="3"/>
        <v>873.12</v>
      </c>
      <c r="F6" s="5">
        <f t="shared" si="3"/>
        <v>873.12</v>
      </c>
      <c r="G6" s="5">
        <f t="shared" si="3"/>
        <v>0</v>
      </c>
      <c r="H6" s="5">
        <f t="shared" si="3"/>
        <v>873.12</v>
      </c>
      <c r="I6" s="5">
        <f t="shared" si="3"/>
        <v>873.12</v>
      </c>
      <c r="J6" s="5">
        <f t="shared" si="3"/>
        <v>873.12</v>
      </c>
      <c r="K6" s="5">
        <f t="shared" si="3"/>
        <v>873.12</v>
      </c>
      <c r="L6" s="5">
        <f t="shared" si="3"/>
        <v>873.12</v>
      </c>
      <c r="M6" s="5">
        <f t="shared" si="3"/>
        <v>873.12</v>
      </c>
      <c r="N6" s="5">
        <f t="shared" si="3"/>
        <v>873.12</v>
      </c>
      <c r="O6" s="5">
        <f t="shared" si="3"/>
        <v>873.12</v>
      </c>
      <c r="P6" s="6">
        <f>SUM(B6:O6)</f>
        <v>11211.9</v>
      </c>
      <c r="Q6" s="5">
        <f>N6+O6</f>
        <v>1746.24</v>
      </c>
      <c r="R6" s="70"/>
      <c r="U6" s="70"/>
      <c r="V6" s="80"/>
      <c r="X6" s="5"/>
      <c r="Y6" s="5"/>
      <c r="Z6" s="5"/>
      <c r="AA6" s="5"/>
      <c r="AB6" s="5"/>
      <c r="AC6" s="5"/>
    </row>
    <row r="7" spans="1:30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 t="shared" ref="P7:P14" si="4">SUM(B7:O7)</f>
        <v>0</v>
      </c>
      <c r="Q7" s="5"/>
      <c r="V7" s="91"/>
      <c r="X7" s="5"/>
      <c r="Y7" s="5"/>
      <c r="Z7" s="5"/>
      <c r="AA7" s="5"/>
      <c r="AB7" s="5"/>
      <c r="AC7" s="5"/>
    </row>
    <row r="8" spans="1:30" ht="19.899999999999999" customHeight="1" x14ac:dyDescent="0.25">
      <c r="A8" s="1" t="s">
        <v>30</v>
      </c>
      <c r="B8" s="5">
        <f t="shared" ref="B8:O8" si="5">-B4*0.126%</f>
        <v>-4.0599999999999996</v>
      </c>
      <c r="C8" s="5">
        <f t="shared" si="5"/>
        <v>-4.0599999999999996</v>
      </c>
      <c r="D8" s="5">
        <f t="shared" si="5"/>
        <v>-4.0599999999999996</v>
      </c>
      <c r="E8" s="5">
        <f t="shared" si="5"/>
        <v>-4.28</v>
      </c>
      <c r="F8" s="5">
        <f t="shared" si="5"/>
        <v>-4.28</v>
      </c>
      <c r="G8" s="5">
        <f>-G5*0.126%</f>
        <v>-3.94</v>
      </c>
      <c r="H8" s="5">
        <f t="shared" si="5"/>
        <v>-4.28</v>
      </c>
      <c r="I8" s="5">
        <f t="shared" si="5"/>
        <v>-4.28</v>
      </c>
      <c r="J8" s="5">
        <f t="shared" si="5"/>
        <v>-4.28</v>
      </c>
      <c r="K8" s="5">
        <f t="shared" si="5"/>
        <v>-4.28</v>
      </c>
      <c r="L8" s="5">
        <f t="shared" si="5"/>
        <v>-4.28</v>
      </c>
      <c r="M8" s="5">
        <f t="shared" si="5"/>
        <v>-4.28</v>
      </c>
      <c r="N8" s="5">
        <f t="shared" si="5"/>
        <v>-4.28</v>
      </c>
      <c r="O8" s="5">
        <f t="shared" si="5"/>
        <v>-4.28</v>
      </c>
      <c r="P8" s="6">
        <f t="shared" si="4"/>
        <v>-58.92</v>
      </c>
      <c r="Q8" s="5"/>
      <c r="R8" s="67"/>
      <c r="U8" s="67"/>
      <c r="X8" s="5"/>
      <c r="Y8" s="5"/>
      <c r="Z8" s="5"/>
      <c r="AA8" s="5"/>
      <c r="AB8" s="5"/>
      <c r="AC8" s="5"/>
    </row>
    <row r="9" spans="1:30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4"/>
        <v>0</v>
      </c>
      <c r="Q9" s="5"/>
      <c r="Y9" s="5"/>
      <c r="Z9" s="5"/>
      <c r="AA9" s="5"/>
      <c r="AB9" s="5"/>
      <c r="AC9" s="5"/>
    </row>
    <row r="10" spans="1:30" s="11" customFormat="1" ht="19.899999999999999" customHeight="1" x14ac:dyDescent="0.3">
      <c r="A10" s="7" t="s">
        <v>31</v>
      </c>
      <c r="B10" s="8">
        <f t="shared" ref="B10:O10" si="6">SUM(B4:B9)</f>
        <v>4042.84</v>
      </c>
      <c r="C10" s="8">
        <f t="shared" si="6"/>
        <v>4042.84</v>
      </c>
      <c r="D10" s="8">
        <f t="shared" si="6"/>
        <v>4042.84</v>
      </c>
      <c r="E10" s="8">
        <f t="shared" si="6"/>
        <v>4268.84</v>
      </c>
      <c r="F10" s="8">
        <f t="shared" si="6"/>
        <v>4268.84</v>
      </c>
      <c r="G10" s="8">
        <f>SUM(G5:G9)</f>
        <v>3124.06</v>
      </c>
      <c r="H10" s="8">
        <f t="shared" si="6"/>
        <v>4268.84</v>
      </c>
      <c r="I10" s="8">
        <f t="shared" si="6"/>
        <v>4268.84</v>
      </c>
      <c r="J10" s="8">
        <f t="shared" si="6"/>
        <v>4268.84</v>
      </c>
      <c r="K10" s="8">
        <f>SUM(K4:K9)</f>
        <v>4268.84</v>
      </c>
      <c r="L10" s="8">
        <f>SUM(L4:L9)</f>
        <v>4268.84</v>
      </c>
      <c r="M10" s="8">
        <f>SUM(M4:M9)</f>
        <v>4268.84</v>
      </c>
      <c r="N10" s="8">
        <f>SUM(N4:N9)</f>
        <v>4268.84</v>
      </c>
      <c r="O10" s="8">
        <f t="shared" si="6"/>
        <v>4268.84</v>
      </c>
      <c r="P10" s="6">
        <f t="shared" si="4"/>
        <v>57940.98</v>
      </c>
      <c r="Q10" s="10"/>
      <c r="X10" s="5"/>
      <c r="Y10" s="5"/>
      <c r="Z10" s="5"/>
      <c r="AA10" s="5"/>
      <c r="AB10" s="5"/>
      <c r="AC10" s="5"/>
      <c r="AD10" s="1"/>
    </row>
    <row r="11" spans="1:30" ht="19.899999999999999" customHeight="1" x14ac:dyDescent="0.25">
      <c r="A11" s="1" t="s">
        <v>32</v>
      </c>
      <c r="B11" s="5"/>
      <c r="C11" s="5"/>
      <c r="D11" s="15"/>
      <c r="E11" s="5"/>
      <c r="F11" s="5"/>
      <c r="G11" s="12"/>
      <c r="H11" s="5"/>
      <c r="I11" s="5"/>
      <c r="J11" s="5"/>
      <c r="K11" s="5"/>
      <c r="L11" s="5"/>
      <c r="M11" s="5"/>
      <c r="N11" s="5"/>
      <c r="O11" s="12"/>
      <c r="P11" s="6">
        <f t="shared" si="4"/>
        <v>0</v>
      </c>
      <c r="Q11" s="5"/>
      <c r="X11" s="5"/>
      <c r="Y11" s="5"/>
      <c r="Z11" s="5"/>
      <c r="AA11" s="5"/>
      <c r="AB11" s="5"/>
      <c r="AC11" s="5"/>
    </row>
    <row r="12" spans="1:30" ht="19.899999999999999" customHeight="1" x14ac:dyDescent="0.25">
      <c r="A12" s="1" t="s">
        <v>75</v>
      </c>
      <c r="B12" s="5"/>
      <c r="C12" s="5"/>
      <c r="D12" s="15">
        <v>2075</v>
      </c>
      <c r="E12" s="5"/>
      <c r="F12" s="5"/>
      <c r="G12" s="12"/>
      <c r="H12" s="5"/>
      <c r="I12" s="5"/>
      <c r="J12" s="5"/>
      <c r="K12" s="5"/>
      <c r="L12" s="5"/>
      <c r="M12" s="5"/>
      <c r="N12" s="5"/>
      <c r="O12" s="12"/>
      <c r="P12" s="6">
        <f t="shared" si="4"/>
        <v>2075</v>
      </c>
      <c r="Q12" s="5"/>
      <c r="X12" s="5"/>
      <c r="Y12" s="5"/>
      <c r="Z12" s="5"/>
      <c r="AA12" s="5"/>
      <c r="AB12" s="5"/>
      <c r="AC12" s="5"/>
    </row>
    <row r="13" spans="1:30" ht="19.899999999999999" customHeight="1" x14ac:dyDescent="0.25">
      <c r="A13" s="1" t="s">
        <v>34</v>
      </c>
      <c r="B13" s="1">
        <v>137.4</v>
      </c>
      <c r="C13" s="1">
        <v>137.4</v>
      </c>
      <c r="D13" s="1">
        <v>137.4</v>
      </c>
      <c r="E13" s="1">
        <v>137.4</v>
      </c>
      <c r="F13" s="1">
        <v>137.4</v>
      </c>
      <c r="G13" s="12"/>
      <c r="H13" s="1">
        <f>I13</f>
        <v>137.4</v>
      </c>
      <c r="I13" s="1">
        <v>137.4</v>
      </c>
      <c r="J13" s="1">
        <v>68.7</v>
      </c>
      <c r="K13" s="1">
        <v>137.4</v>
      </c>
      <c r="L13" s="1">
        <v>137.4</v>
      </c>
      <c r="M13" s="1">
        <v>137.4</v>
      </c>
      <c r="N13" s="1">
        <v>103.05</v>
      </c>
      <c r="O13" s="12"/>
      <c r="P13" s="6">
        <f t="shared" si="4"/>
        <v>1545.75</v>
      </c>
      <c r="Q13" s="5"/>
      <c r="X13" s="5"/>
      <c r="Y13" s="5"/>
      <c r="Z13" s="5"/>
      <c r="AA13" s="5"/>
      <c r="AB13" s="5"/>
      <c r="AC13" s="5"/>
    </row>
    <row r="14" spans="1:30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12"/>
      <c r="P14" s="6">
        <f t="shared" si="4"/>
        <v>0</v>
      </c>
      <c r="Q14"/>
      <c r="R14"/>
      <c r="U14"/>
      <c r="X14" s="5"/>
      <c r="Y14" s="5"/>
      <c r="Z14" s="5"/>
      <c r="AA14" s="5"/>
      <c r="AB14" s="5"/>
      <c r="AC14" s="5"/>
    </row>
    <row r="15" spans="1:30" s="11" customFormat="1" ht="19.899999999999999" customHeight="1" x14ac:dyDescent="0.3">
      <c r="A15" s="7" t="s">
        <v>25</v>
      </c>
      <c r="B15" s="8">
        <f t="shared" ref="B15:G15" si="7">SUM(B10:B14)</f>
        <v>4180.24</v>
      </c>
      <c r="C15" s="8">
        <f t="shared" si="7"/>
        <v>4180.24</v>
      </c>
      <c r="D15" s="8">
        <f t="shared" si="7"/>
        <v>6255.24</v>
      </c>
      <c r="E15" s="8">
        <f t="shared" si="7"/>
        <v>4406.24</v>
      </c>
      <c r="F15" s="8">
        <f t="shared" si="7"/>
        <v>4406.24</v>
      </c>
      <c r="G15" s="8">
        <f t="shared" si="7"/>
        <v>3124.06</v>
      </c>
      <c r="H15" s="8">
        <f t="shared" ref="H15:N15" si="8">SUM(H10:H14)</f>
        <v>4406.24</v>
      </c>
      <c r="I15" s="8">
        <f t="shared" si="8"/>
        <v>4406.24</v>
      </c>
      <c r="J15" s="8">
        <f t="shared" si="8"/>
        <v>4337.54</v>
      </c>
      <c r="K15" s="8">
        <f t="shared" si="8"/>
        <v>4406.24</v>
      </c>
      <c r="L15" s="8">
        <f t="shared" si="8"/>
        <v>4406.24</v>
      </c>
      <c r="M15" s="8">
        <f t="shared" si="8"/>
        <v>4406.24</v>
      </c>
      <c r="N15" s="8">
        <f t="shared" si="8"/>
        <v>4371.8900000000003</v>
      </c>
      <c r="O15" s="8">
        <f t="shared" ref="O15:P15" si="9">SUM(O10:O14)</f>
        <v>4268.84</v>
      </c>
      <c r="P15" s="9">
        <f t="shared" si="9"/>
        <v>61561.73</v>
      </c>
      <c r="Q15"/>
      <c r="R15"/>
      <c r="U15"/>
      <c r="X15" s="5"/>
      <c r="Y15" s="5"/>
      <c r="Z15" s="5"/>
      <c r="AA15" s="5"/>
      <c r="AB15" s="5"/>
      <c r="AC15" s="5"/>
      <c r="AD15" s="1"/>
    </row>
    <row r="16" spans="1:30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/>
      <c r="P16" s="13">
        <f>SUM(B15:O15)</f>
        <v>61561.73</v>
      </c>
      <c r="Q16" s="5"/>
      <c r="X16" s="5"/>
      <c r="Y16" s="5"/>
      <c r="Z16" s="5"/>
      <c r="AA16" s="5"/>
      <c r="AB16" s="5"/>
      <c r="AC16" s="5"/>
    </row>
    <row r="17" spans="1:30" s="11" customFormat="1" ht="19.899999999999999" customHeight="1" x14ac:dyDescent="0.3">
      <c r="A17" s="7" t="s">
        <v>20</v>
      </c>
      <c r="B17" s="8">
        <f>B4*18.8%</f>
        <v>605.36</v>
      </c>
      <c r="C17" s="8">
        <f t="shared" ref="C17:N17" si="10">C4*18.8%</f>
        <v>605.36</v>
      </c>
      <c r="D17" s="8">
        <f t="shared" si="10"/>
        <v>605.36</v>
      </c>
      <c r="E17" s="8">
        <f t="shared" si="10"/>
        <v>639.20000000000005</v>
      </c>
      <c r="F17" s="8">
        <f t="shared" si="10"/>
        <v>639.20000000000005</v>
      </c>
      <c r="G17" s="8">
        <f t="shared" si="10"/>
        <v>0</v>
      </c>
      <c r="H17" s="8">
        <f t="shared" si="10"/>
        <v>639.20000000000005</v>
      </c>
      <c r="I17" s="8">
        <f t="shared" si="10"/>
        <v>639.20000000000005</v>
      </c>
      <c r="J17" s="8">
        <f t="shared" si="10"/>
        <v>639.20000000000005</v>
      </c>
      <c r="K17" s="8">
        <f t="shared" si="10"/>
        <v>639.20000000000005</v>
      </c>
      <c r="L17" s="8">
        <f t="shared" si="10"/>
        <v>639.20000000000005</v>
      </c>
      <c r="M17" s="8">
        <f t="shared" si="10"/>
        <v>639.20000000000005</v>
      </c>
      <c r="N17" s="8">
        <f t="shared" si="10"/>
        <v>639.20000000000005</v>
      </c>
      <c r="O17" s="8"/>
      <c r="P17" s="9">
        <f>SUM(B17:O17)</f>
        <v>7568.88</v>
      </c>
      <c r="Q17" s="10"/>
      <c r="X17" s="5"/>
      <c r="Y17" s="5"/>
      <c r="Z17" s="5"/>
      <c r="AA17" s="5"/>
      <c r="AB17" s="5"/>
      <c r="AC17" s="5"/>
      <c r="AD17" s="1"/>
    </row>
    <row r="18" spans="1:30" s="11" customFormat="1" ht="19.899999999999999" customHeight="1" x14ac:dyDescent="0.3">
      <c r="A18" s="7" t="s">
        <v>21</v>
      </c>
      <c r="B18" s="8">
        <f>$O10/12</f>
        <v>355.74</v>
      </c>
      <c r="C18" s="8">
        <f t="shared" ref="C18:N18" si="11">$O10/12</f>
        <v>355.74</v>
      </c>
      <c r="D18" s="8">
        <f t="shared" si="11"/>
        <v>355.74</v>
      </c>
      <c r="E18" s="8">
        <f t="shared" si="11"/>
        <v>355.74</v>
      </c>
      <c r="F18" s="8">
        <f t="shared" si="11"/>
        <v>355.74</v>
      </c>
      <c r="G18" s="8"/>
      <c r="H18" s="8">
        <f t="shared" si="11"/>
        <v>355.74</v>
      </c>
      <c r="I18" s="8">
        <f t="shared" si="11"/>
        <v>355.74</v>
      </c>
      <c r="J18" s="8">
        <f t="shared" si="11"/>
        <v>355.74</v>
      </c>
      <c r="K18" s="8">
        <f t="shared" si="11"/>
        <v>355.74</v>
      </c>
      <c r="L18" s="8">
        <f t="shared" si="11"/>
        <v>355.74</v>
      </c>
      <c r="M18" s="8">
        <f t="shared" si="11"/>
        <v>355.74</v>
      </c>
      <c r="N18" s="8">
        <f t="shared" si="11"/>
        <v>355.74</v>
      </c>
      <c r="O18" s="8"/>
      <c r="P18" s="9">
        <f>SUM(B18:O18)</f>
        <v>4268.88</v>
      </c>
      <c r="Q18" s="10"/>
    </row>
    <row r="19" spans="1:30" x14ac:dyDescent="0.3">
      <c r="P19" s="2"/>
    </row>
    <row r="20" spans="1:30" s="11" customFormat="1" ht="19.899999999999999" customHeight="1" x14ac:dyDescent="0.3">
      <c r="A20" s="7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>SUM(B20:O20)</f>
        <v>0</v>
      </c>
      <c r="Q20" s="10"/>
    </row>
    <row r="21" spans="1:30" ht="12.5" x14ac:dyDescent="0.25">
      <c r="O21"/>
      <c r="P21" s="1"/>
    </row>
    <row r="22" spans="1:30" ht="12.5" x14ac:dyDescent="0.25">
      <c r="B22" s="1">
        <f t="shared" ref="B22:F22" si="12">B13/6.87</f>
        <v>20</v>
      </c>
      <c r="C22" s="1">
        <f t="shared" si="12"/>
        <v>20</v>
      </c>
      <c r="D22" s="1">
        <f t="shared" si="12"/>
        <v>20</v>
      </c>
      <c r="E22" s="1">
        <f t="shared" si="12"/>
        <v>20</v>
      </c>
      <c r="F22" s="1">
        <f t="shared" si="12"/>
        <v>20</v>
      </c>
      <c r="H22" s="1">
        <f>H13/6.87</f>
        <v>20</v>
      </c>
      <c r="I22" s="1">
        <f t="shared" ref="I22:N22" si="13">I13/6.87</f>
        <v>20</v>
      </c>
      <c r="J22" s="1">
        <f t="shared" si="13"/>
        <v>10</v>
      </c>
      <c r="K22" s="1">
        <f t="shared" si="13"/>
        <v>20</v>
      </c>
      <c r="L22" s="1">
        <f t="shared" si="13"/>
        <v>20</v>
      </c>
      <c r="M22" s="1">
        <f t="shared" si="13"/>
        <v>20</v>
      </c>
      <c r="N22" s="1">
        <f t="shared" si="13"/>
        <v>15</v>
      </c>
      <c r="O22"/>
      <c r="P22" s="6">
        <f t="shared" ref="P22" si="14">SUM(B22:O22)</f>
        <v>225</v>
      </c>
    </row>
    <row r="23" spans="1:30" x14ac:dyDescent="0.3">
      <c r="O23" s="13"/>
    </row>
    <row r="24" spans="1:30" x14ac:dyDescent="0.3">
      <c r="O24"/>
    </row>
    <row r="27" spans="1:30" x14ac:dyDescent="0.3">
      <c r="W27" s="87"/>
    </row>
    <row r="28" spans="1:30" x14ac:dyDescent="0.3">
      <c r="W28" s="87"/>
    </row>
    <row r="29" spans="1:30" x14ac:dyDescent="0.3">
      <c r="W29" s="87"/>
    </row>
    <row r="32" spans="1:30" x14ac:dyDescent="0.3">
      <c r="W32" s="87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Normal="100" workbookViewId="0">
      <selection activeCell="B13" sqref="B13:E13"/>
    </sheetView>
  </sheetViews>
  <sheetFormatPr defaultColWidth="11.7265625" defaultRowHeight="13" x14ac:dyDescent="0.3"/>
  <cols>
    <col min="1" max="1" width="15.81640625" style="1" customWidth="1"/>
    <col min="2" max="15" width="8.54296875" style="1" customWidth="1"/>
    <col min="16" max="16" width="9.26953125" style="11" customWidth="1"/>
    <col min="17" max="17" width="8.54296875" style="1" customWidth="1"/>
    <col min="18" max="16384" width="11.7265625" style="1"/>
  </cols>
  <sheetData>
    <row r="1" spans="1:30" ht="15.75" customHeight="1" x14ac:dyDescent="0.35">
      <c r="A1" s="19" t="s">
        <v>64</v>
      </c>
      <c r="B1" s="19"/>
    </row>
    <row r="2" spans="1:30" ht="15.75" customHeight="1" x14ac:dyDescent="0.35">
      <c r="A2" s="189"/>
      <c r="B2" s="189"/>
    </row>
    <row r="3" spans="1:30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92" t="s">
        <v>14</v>
      </c>
      <c r="O3" s="22" t="s">
        <v>15</v>
      </c>
      <c r="P3" s="4" t="s">
        <v>25</v>
      </c>
    </row>
    <row r="4" spans="1:30" ht="19.899999999999999" customHeight="1" x14ac:dyDescent="0.25">
      <c r="A4" s="1" t="s">
        <v>26</v>
      </c>
      <c r="B4" s="176">
        <f>'2018'!D12</f>
        <v>4620</v>
      </c>
      <c r="C4" s="5">
        <f>B4</f>
        <v>4620</v>
      </c>
      <c r="D4" s="5">
        <f>C4</f>
        <v>4620</v>
      </c>
      <c r="E4" s="5">
        <f>B4</f>
        <v>4620</v>
      </c>
      <c r="F4" s="5">
        <f>B4</f>
        <v>4620</v>
      </c>
      <c r="H4" s="5">
        <f>F4</f>
        <v>4620</v>
      </c>
      <c r="I4" s="5">
        <f t="shared" ref="I4:O4" si="0">H4</f>
        <v>4620</v>
      </c>
      <c r="J4" s="5">
        <f t="shared" si="0"/>
        <v>4620</v>
      </c>
      <c r="K4" s="5">
        <f t="shared" si="0"/>
        <v>4620</v>
      </c>
      <c r="L4" s="5">
        <f t="shared" si="0"/>
        <v>4620</v>
      </c>
      <c r="M4" s="5">
        <f t="shared" si="0"/>
        <v>4620</v>
      </c>
      <c r="N4" s="5">
        <f t="shared" si="0"/>
        <v>4620</v>
      </c>
      <c r="O4" s="5">
        <f t="shared" si="0"/>
        <v>4620</v>
      </c>
      <c r="P4" s="6">
        <f t="shared" ref="P4:P13" si="1">SUM(B4:O4)</f>
        <v>60060</v>
      </c>
      <c r="Q4" s="5"/>
      <c r="V4" s="70"/>
      <c r="X4" s="5"/>
      <c r="Y4" s="5"/>
      <c r="Z4" s="5"/>
      <c r="AA4" s="5"/>
      <c r="AB4" s="5"/>
      <c r="AC4" s="5"/>
    </row>
    <row r="5" spans="1:30" ht="19.899999999999999" customHeight="1" x14ac:dyDescent="0.25">
      <c r="A5" s="1" t="s">
        <v>27</v>
      </c>
      <c r="B5" s="5"/>
      <c r="C5" s="5"/>
      <c r="D5" s="5"/>
      <c r="E5" s="5"/>
      <c r="F5" s="5"/>
      <c r="G5" s="5">
        <f>F4*0.92</f>
        <v>4250.3999999999996</v>
      </c>
      <c r="H5" s="5"/>
      <c r="I5" s="5"/>
      <c r="J5" s="5"/>
      <c r="K5" s="5"/>
      <c r="L5" s="5"/>
      <c r="M5" s="5"/>
      <c r="N5" s="5"/>
      <c r="O5" s="5"/>
      <c r="P5" s="6">
        <f t="shared" si="1"/>
        <v>4250.3999999999996</v>
      </c>
      <c r="Q5" s="5"/>
      <c r="X5" s="5"/>
      <c r="Y5" s="5"/>
      <c r="Z5" s="5"/>
      <c r="AA5" s="5"/>
      <c r="AB5" s="5"/>
      <c r="AC5" s="5"/>
    </row>
    <row r="6" spans="1:30" ht="19.899999999999999" customHeight="1" x14ac:dyDescent="0.25">
      <c r="A6" s="1" t="s">
        <v>28</v>
      </c>
      <c r="B6" s="5">
        <f>B4*25.68%</f>
        <v>1186.42</v>
      </c>
      <c r="C6" s="5">
        <f t="shared" ref="C6:O6" si="2">C4*25.68%</f>
        <v>1186.42</v>
      </c>
      <c r="D6" s="5">
        <f t="shared" si="2"/>
        <v>1186.42</v>
      </c>
      <c r="E6" s="5">
        <f t="shared" si="2"/>
        <v>1186.42</v>
      </c>
      <c r="F6" s="5">
        <f t="shared" si="2"/>
        <v>1186.42</v>
      </c>
      <c r="G6" s="5"/>
      <c r="H6" s="5">
        <f t="shared" si="2"/>
        <v>1186.42</v>
      </c>
      <c r="I6" s="5">
        <f t="shared" si="2"/>
        <v>1186.42</v>
      </c>
      <c r="J6" s="5">
        <f t="shared" si="2"/>
        <v>1186.42</v>
      </c>
      <c r="K6" s="5">
        <f t="shared" si="2"/>
        <v>1186.42</v>
      </c>
      <c r="L6" s="5">
        <f t="shared" si="2"/>
        <v>1186.42</v>
      </c>
      <c r="M6" s="5">
        <f t="shared" si="2"/>
        <v>1186.42</v>
      </c>
      <c r="N6" s="5">
        <f t="shared" si="2"/>
        <v>1186.42</v>
      </c>
      <c r="O6" s="5">
        <f t="shared" si="2"/>
        <v>1186.42</v>
      </c>
      <c r="P6" s="6">
        <f t="shared" si="1"/>
        <v>15423.46</v>
      </c>
      <c r="Q6" s="76">
        <f>M6/M4</f>
        <v>0.25679999999999997</v>
      </c>
      <c r="S6" s="1">
        <f>B4*3.48%</f>
        <v>160.78</v>
      </c>
      <c r="U6" s="70"/>
      <c r="V6" s="80"/>
      <c r="X6" s="5"/>
      <c r="Y6" s="5"/>
      <c r="Z6" s="5"/>
      <c r="AA6" s="5"/>
      <c r="AB6" s="5"/>
      <c r="AC6" s="5"/>
    </row>
    <row r="7" spans="1:30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V7" s="91"/>
      <c r="X7" s="5"/>
      <c r="Y7" s="5"/>
      <c r="Z7" s="5"/>
      <c r="AA7" s="5"/>
      <c r="AB7" s="5"/>
      <c r="AC7" s="5"/>
    </row>
    <row r="8" spans="1:30" ht="19.899999999999999" customHeight="1" x14ac:dyDescent="0.25">
      <c r="A8" s="1" t="s">
        <v>30</v>
      </c>
      <c r="B8" s="5">
        <f t="shared" ref="B8:O8" si="3">-B4*0.126%</f>
        <v>-5.82</v>
      </c>
      <c r="C8" s="5">
        <f t="shared" si="3"/>
        <v>-5.82</v>
      </c>
      <c r="D8" s="5">
        <f t="shared" si="3"/>
        <v>-5.82</v>
      </c>
      <c r="E8" s="5">
        <f t="shared" si="3"/>
        <v>-5.82</v>
      </c>
      <c r="F8" s="5">
        <f t="shared" si="3"/>
        <v>-5.82</v>
      </c>
      <c r="G8" s="5">
        <f>-G5*0.126%</f>
        <v>-5.36</v>
      </c>
      <c r="H8" s="5">
        <f t="shared" si="3"/>
        <v>-5.82</v>
      </c>
      <c r="I8" s="5">
        <f t="shared" si="3"/>
        <v>-5.82</v>
      </c>
      <c r="J8" s="5">
        <f t="shared" si="3"/>
        <v>-5.82</v>
      </c>
      <c r="K8" s="5">
        <f t="shared" si="3"/>
        <v>-5.82</v>
      </c>
      <c r="L8" s="5">
        <f t="shared" si="3"/>
        <v>-5.82</v>
      </c>
      <c r="M8" s="5">
        <f t="shared" si="3"/>
        <v>-5.82</v>
      </c>
      <c r="N8" s="5">
        <f t="shared" si="3"/>
        <v>-5.82</v>
      </c>
      <c r="O8" s="5">
        <f t="shared" si="3"/>
        <v>-5.82</v>
      </c>
      <c r="P8" s="6">
        <f t="shared" si="1"/>
        <v>-81.02</v>
      </c>
      <c r="Q8" s="5"/>
      <c r="U8" s="67"/>
      <c r="X8" s="5"/>
      <c r="Y8" s="5"/>
      <c r="Z8" s="5"/>
      <c r="AA8" s="5"/>
      <c r="AB8" s="5"/>
      <c r="AC8" s="5"/>
    </row>
    <row r="9" spans="1:30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Y9" s="5"/>
      <c r="Z9" s="5"/>
      <c r="AA9" s="5"/>
      <c r="AB9" s="5"/>
      <c r="AC9" s="5"/>
    </row>
    <row r="10" spans="1:30" s="11" customFormat="1" ht="19.899999999999999" customHeight="1" x14ac:dyDescent="0.3">
      <c r="A10" s="7" t="s">
        <v>31</v>
      </c>
      <c r="B10" s="16">
        <f>SUM(B4:B9)</f>
        <v>5800.6</v>
      </c>
      <c r="C10" s="16">
        <f>SUM(C4:C9)</f>
        <v>5800.6</v>
      </c>
      <c r="D10" s="16">
        <f>SUM(D4:D9)</f>
        <v>5800.6</v>
      </c>
      <c r="E10" s="16">
        <f>SUM(E4:E9)</f>
        <v>5800.6</v>
      </c>
      <c r="F10" s="16">
        <f>SUM(F4:F9)</f>
        <v>5800.6</v>
      </c>
      <c r="G10" s="16">
        <f t="shared" ref="G10:O10" si="4">SUM(G4:G9)</f>
        <v>4245.04</v>
      </c>
      <c r="H10" s="16">
        <f t="shared" si="4"/>
        <v>5800.6</v>
      </c>
      <c r="I10" s="16">
        <f t="shared" si="4"/>
        <v>5800.6</v>
      </c>
      <c r="J10" s="16">
        <f t="shared" si="4"/>
        <v>5800.6</v>
      </c>
      <c r="K10" s="16">
        <f>SUM(K4:K9)</f>
        <v>5800.6</v>
      </c>
      <c r="L10" s="16">
        <f>SUM(L4:L9)</f>
        <v>5800.6</v>
      </c>
      <c r="M10" s="16">
        <f>SUM(M4:M9)</f>
        <v>5800.6</v>
      </c>
      <c r="N10" s="16">
        <f>SUM(N4:N9)</f>
        <v>5800.6</v>
      </c>
      <c r="O10" s="16">
        <f t="shared" si="4"/>
        <v>5800.6</v>
      </c>
      <c r="P10" s="9">
        <f t="shared" si="1"/>
        <v>79652.84</v>
      </c>
      <c r="Q10" s="10"/>
      <c r="X10" s="5"/>
      <c r="Y10" s="5"/>
      <c r="Z10" s="5"/>
      <c r="AA10" s="5"/>
      <c r="AB10" s="5"/>
      <c r="AC10" s="5"/>
      <c r="AD10" s="1"/>
    </row>
    <row r="11" spans="1:30" ht="19.899999999999999" customHeight="1" x14ac:dyDescent="0.25">
      <c r="A11" s="1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6"/>
      <c r="Q11" s="5"/>
      <c r="X11" s="5"/>
      <c r="Y11" s="5"/>
      <c r="Z11" s="5"/>
      <c r="AA11" s="5"/>
      <c r="AB11" s="5"/>
      <c r="AC11" s="5"/>
    </row>
    <row r="12" spans="1:30" ht="19.899999999999999" customHeight="1" x14ac:dyDescent="0.25">
      <c r="A12" s="1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"/>
      <c r="Q12" s="5"/>
      <c r="X12" s="5"/>
      <c r="Y12" s="5"/>
      <c r="Z12" s="5"/>
      <c r="AA12" s="5"/>
      <c r="AB12" s="5"/>
      <c r="AC12" s="5"/>
    </row>
    <row r="13" spans="1:30" ht="19.899999999999999" customHeight="1" x14ac:dyDescent="0.25">
      <c r="A13" s="1" t="s">
        <v>34</v>
      </c>
      <c r="B13" s="1">
        <v>137.4</v>
      </c>
      <c r="C13" s="1">
        <v>137.4</v>
      </c>
      <c r="D13" s="1">
        <v>137.4</v>
      </c>
      <c r="E13" s="1">
        <v>137.4</v>
      </c>
      <c r="F13" s="1">
        <v>137.4</v>
      </c>
      <c r="G13" s="12"/>
      <c r="H13" s="1">
        <v>137.4</v>
      </c>
      <c r="I13" s="1">
        <v>137.4</v>
      </c>
      <c r="J13" s="1">
        <v>68.7</v>
      </c>
      <c r="K13" s="1">
        <v>137.4</v>
      </c>
      <c r="L13" s="1">
        <v>137.4</v>
      </c>
      <c r="M13" s="1">
        <v>137.4</v>
      </c>
      <c r="N13" s="1">
        <v>103.05</v>
      </c>
      <c r="O13" s="15"/>
      <c r="P13" s="6">
        <f t="shared" si="1"/>
        <v>1545.75</v>
      </c>
      <c r="Q13" s="5"/>
      <c r="X13" s="5"/>
      <c r="Y13" s="5"/>
      <c r="Z13" s="5"/>
      <c r="AA13" s="5"/>
      <c r="AB13" s="5"/>
      <c r="AC13" s="5"/>
    </row>
    <row r="14" spans="1:30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15"/>
      <c r="P14" s="6"/>
      <c r="Q14"/>
      <c r="R14"/>
      <c r="U14"/>
      <c r="X14" s="5"/>
      <c r="Y14" s="5"/>
      <c r="Z14" s="5"/>
      <c r="AA14" s="5"/>
      <c r="AB14" s="5"/>
      <c r="AC14" s="5"/>
    </row>
    <row r="15" spans="1:30" s="11" customFormat="1" ht="19.899999999999999" customHeight="1" x14ac:dyDescent="0.3">
      <c r="A15" s="7" t="s">
        <v>25</v>
      </c>
      <c r="B15" s="8">
        <f t="shared" ref="B15:G15" si="5">SUM(B10:B14)</f>
        <v>5938</v>
      </c>
      <c r="C15" s="8">
        <f t="shared" si="5"/>
        <v>5938</v>
      </c>
      <c r="D15" s="8">
        <f t="shared" si="5"/>
        <v>5938</v>
      </c>
      <c r="E15" s="8">
        <f t="shared" si="5"/>
        <v>5938</v>
      </c>
      <c r="F15" s="8">
        <f t="shared" si="5"/>
        <v>5938</v>
      </c>
      <c r="G15" s="8">
        <f t="shared" si="5"/>
        <v>4245.04</v>
      </c>
      <c r="H15" s="8">
        <f t="shared" ref="H15:N15" si="6">SUM(H10:H14)</f>
        <v>5938</v>
      </c>
      <c r="I15" s="8">
        <f t="shared" si="6"/>
        <v>5938</v>
      </c>
      <c r="J15" s="8">
        <f t="shared" si="6"/>
        <v>5869.3</v>
      </c>
      <c r="K15" s="8">
        <f t="shared" si="6"/>
        <v>5938</v>
      </c>
      <c r="L15" s="8">
        <f t="shared" si="6"/>
        <v>5938</v>
      </c>
      <c r="M15" s="8">
        <f t="shared" si="6"/>
        <v>5938</v>
      </c>
      <c r="N15" s="8">
        <f t="shared" si="6"/>
        <v>5903.65</v>
      </c>
      <c r="O15" s="16">
        <f t="shared" ref="O15:P15" si="7">SUM(O10:O14)</f>
        <v>5800.6</v>
      </c>
      <c r="P15" s="9">
        <f t="shared" si="7"/>
        <v>81198.59</v>
      </c>
      <c r="Q15"/>
      <c r="R15"/>
      <c r="U15"/>
      <c r="X15" s="5"/>
      <c r="Y15" s="5"/>
      <c r="Z15" s="5"/>
      <c r="AA15" s="5"/>
      <c r="AB15" s="5"/>
      <c r="AC15" s="5"/>
      <c r="AD15" s="1"/>
    </row>
    <row r="16" spans="1:30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7" t="s">
        <v>35</v>
      </c>
      <c r="P16" s="13">
        <f>SUM(B15:O15)</f>
        <v>81198.59</v>
      </c>
      <c r="Q16" s="5"/>
      <c r="X16" s="5"/>
      <c r="Y16" s="5"/>
      <c r="Z16" s="5"/>
      <c r="AA16" s="5"/>
      <c r="AB16" s="5"/>
      <c r="AC16" s="5"/>
    </row>
    <row r="17" spans="1:30" s="11" customFormat="1" ht="19.899999999999999" customHeight="1" x14ac:dyDescent="0.3">
      <c r="A17" s="7" t="s">
        <v>20</v>
      </c>
      <c r="B17" s="8">
        <f>B4*18.8%</f>
        <v>868.56</v>
      </c>
      <c r="C17" s="8">
        <f t="shared" ref="C17:E17" si="8">C4*18.8%</f>
        <v>868.56</v>
      </c>
      <c r="D17" s="8">
        <f t="shared" si="8"/>
        <v>868.56</v>
      </c>
      <c r="E17" s="8">
        <f t="shared" si="8"/>
        <v>868.56</v>
      </c>
      <c r="F17" s="8">
        <f t="shared" ref="F17:N17" si="9">F4*18.8%</f>
        <v>868.56</v>
      </c>
      <c r="G17" s="8">
        <f t="shared" si="9"/>
        <v>0</v>
      </c>
      <c r="H17" s="8">
        <f t="shared" si="9"/>
        <v>868.56</v>
      </c>
      <c r="I17" s="8">
        <f t="shared" si="9"/>
        <v>868.56</v>
      </c>
      <c r="J17" s="8">
        <f t="shared" si="9"/>
        <v>868.56</v>
      </c>
      <c r="K17" s="8">
        <f t="shared" si="9"/>
        <v>868.56</v>
      </c>
      <c r="L17" s="8">
        <f t="shared" si="9"/>
        <v>868.56</v>
      </c>
      <c r="M17" s="8">
        <f t="shared" si="9"/>
        <v>868.56</v>
      </c>
      <c r="N17" s="8">
        <f t="shared" si="9"/>
        <v>868.56</v>
      </c>
      <c r="O17" s="16"/>
      <c r="P17" s="9">
        <f>SUM(B17:O17)</f>
        <v>10422.719999999999</v>
      </c>
      <c r="Q17" s="10"/>
      <c r="X17" s="5"/>
      <c r="Y17" s="5"/>
      <c r="Z17" s="5"/>
      <c r="AA17" s="5"/>
      <c r="AB17" s="5"/>
      <c r="AC17" s="5"/>
      <c r="AD17" s="1"/>
    </row>
    <row r="18" spans="1:30" s="11" customFormat="1" ht="19.899999999999999" customHeight="1" x14ac:dyDescent="0.3">
      <c r="A18" s="7" t="s">
        <v>21</v>
      </c>
      <c r="B18" s="8">
        <f>$O10/12</f>
        <v>483.38</v>
      </c>
      <c r="C18" s="8">
        <f t="shared" ref="C18:N18" si="10">$O10/12</f>
        <v>483.38</v>
      </c>
      <c r="D18" s="8">
        <f t="shared" si="10"/>
        <v>483.38</v>
      </c>
      <c r="E18" s="8">
        <f t="shared" si="10"/>
        <v>483.38</v>
      </c>
      <c r="F18" s="8">
        <f t="shared" si="10"/>
        <v>483.38</v>
      </c>
      <c r="G18" s="8"/>
      <c r="H18" s="8">
        <f t="shared" si="10"/>
        <v>483.38</v>
      </c>
      <c r="I18" s="8">
        <f t="shared" si="10"/>
        <v>483.38</v>
      </c>
      <c r="J18" s="8">
        <f t="shared" si="10"/>
        <v>483.38</v>
      </c>
      <c r="K18" s="8">
        <f t="shared" si="10"/>
        <v>483.38</v>
      </c>
      <c r="L18" s="8">
        <f t="shared" si="10"/>
        <v>483.38</v>
      </c>
      <c r="M18" s="8">
        <f t="shared" si="10"/>
        <v>483.38</v>
      </c>
      <c r="N18" s="8">
        <f t="shared" si="10"/>
        <v>483.38</v>
      </c>
      <c r="O18" s="16"/>
      <c r="P18" s="9">
        <f>SUM(B18:O18)</f>
        <v>5800.56</v>
      </c>
      <c r="Q18" s="10"/>
    </row>
    <row r="19" spans="1:30" x14ac:dyDescent="0.3">
      <c r="O19" s="18"/>
      <c r="P19" s="2"/>
    </row>
    <row r="20" spans="1:30" s="11" customFormat="1" ht="19.899999999999999" customHeight="1" x14ac:dyDescent="0.3">
      <c r="A20" s="7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6"/>
      <c r="P20" s="9"/>
      <c r="Q20" s="10"/>
    </row>
    <row r="21" spans="1:30" x14ac:dyDescent="0.3">
      <c r="O21"/>
    </row>
    <row r="22" spans="1:30" ht="12.5" x14ac:dyDescent="0.25">
      <c r="B22" s="1">
        <f t="shared" ref="B22:F22" si="11">B13/6.87</f>
        <v>20</v>
      </c>
      <c r="C22" s="1">
        <f t="shared" si="11"/>
        <v>20</v>
      </c>
      <c r="D22" s="1">
        <f t="shared" si="11"/>
        <v>20</v>
      </c>
      <c r="E22" s="1">
        <f t="shared" si="11"/>
        <v>20</v>
      </c>
      <c r="F22" s="1">
        <f t="shared" si="11"/>
        <v>20</v>
      </c>
      <c r="H22" s="1">
        <f>H13/6.87</f>
        <v>20</v>
      </c>
      <c r="I22" s="1">
        <f t="shared" ref="I22:N22" si="12">I13/6.87</f>
        <v>20</v>
      </c>
      <c r="J22" s="1">
        <f t="shared" si="12"/>
        <v>10</v>
      </c>
      <c r="K22" s="1">
        <f t="shared" si="12"/>
        <v>20</v>
      </c>
      <c r="L22" s="1">
        <f t="shared" si="12"/>
        <v>20</v>
      </c>
      <c r="M22" s="1">
        <f t="shared" si="12"/>
        <v>20</v>
      </c>
      <c r="N22" s="1">
        <f t="shared" si="12"/>
        <v>15</v>
      </c>
      <c r="O22"/>
      <c r="P22" s="9">
        <f>SUM(B22:O22)</f>
        <v>225</v>
      </c>
    </row>
    <row r="23" spans="1:30" x14ac:dyDescent="0.3">
      <c r="O23" s="13"/>
    </row>
    <row r="24" spans="1:30" x14ac:dyDescent="0.3">
      <c r="O24"/>
    </row>
    <row r="27" spans="1:30" x14ac:dyDescent="0.3">
      <c r="W27" s="87"/>
    </row>
    <row r="28" spans="1:30" x14ac:dyDescent="0.3">
      <c r="W28" s="87"/>
    </row>
    <row r="29" spans="1:30" x14ac:dyDescent="0.3">
      <c r="W29" s="87"/>
    </row>
    <row r="32" spans="1:30" x14ac:dyDescent="0.3">
      <c r="W32" s="87"/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2"/>
  <sheetViews>
    <sheetView showZeros="0" showOutlineSymbols="0" zoomScaleNormal="85" workbookViewId="0">
      <selection activeCell="B11" sqref="B11:N11"/>
    </sheetView>
  </sheetViews>
  <sheetFormatPr defaultColWidth="11.7265625" defaultRowHeight="13" x14ac:dyDescent="0.3"/>
  <cols>
    <col min="1" max="1" width="15.81640625" style="1" customWidth="1"/>
    <col min="2" max="10" width="8.54296875" style="1" customWidth="1"/>
    <col min="11" max="11" width="9.1796875" style="1" customWidth="1"/>
    <col min="12" max="15" width="8.54296875" style="1" customWidth="1"/>
    <col min="16" max="16" width="10" style="2" customWidth="1"/>
    <col min="17" max="17" width="8.54296875" style="1" customWidth="1"/>
    <col min="18" max="254" width="11.7265625" style="1" customWidth="1"/>
  </cols>
  <sheetData>
    <row r="1" spans="1:29" ht="15.5" x14ac:dyDescent="0.35">
      <c r="A1" s="3" t="s">
        <v>65</v>
      </c>
    </row>
    <row r="3" spans="1:29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92" t="s">
        <v>14</v>
      </c>
      <c r="O3" s="22" t="s">
        <v>52</v>
      </c>
      <c r="P3" s="4" t="s">
        <v>25</v>
      </c>
    </row>
    <row r="4" spans="1:29" ht="19.899999999999999" customHeight="1" x14ac:dyDescent="0.25">
      <c r="A4" s="1" t="s">
        <v>26</v>
      </c>
      <c r="B4" s="5">
        <f>'2018'!D13</f>
        <v>3039.6</v>
      </c>
      <c r="C4" s="5">
        <f>B4</f>
        <v>3039.6</v>
      </c>
      <c r="D4" s="5">
        <f t="shared" ref="D4:O4" si="0">C4</f>
        <v>3039.6</v>
      </c>
      <c r="E4" s="5">
        <f t="shared" si="0"/>
        <v>3039.6</v>
      </c>
      <c r="F4" s="5">
        <f t="shared" si="0"/>
        <v>3039.6</v>
      </c>
      <c r="H4" s="5">
        <f>F4</f>
        <v>3039.6</v>
      </c>
      <c r="I4" s="5">
        <f>H4</f>
        <v>3039.6</v>
      </c>
      <c r="J4" s="5">
        <f t="shared" si="0"/>
        <v>3039.6</v>
      </c>
      <c r="K4" s="5">
        <f t="shared" si="0"/>
        <v>3039.6</v>
      </c>
      <c r="L4" s="5">
        <f t="shared" si="0"/>
        <v>3039.6</v>
      </c>
      <c r="M4" s="5">
        <f t="shared" si="0"/>
        <v>3039.6</v>
      </c>
      <c r="N4" s="5">
        <f t="shared" si="0"/>
        <v>3039.6</v>
      </c>
      <c r="O4" s="5">
        <f t="shared" si="0"/>
        <v>3039.6</v>
      </c>
      <c r="P4" s="6">
        <f t="shared" ref="P4:P14" si="1">SUM(B4:O4)</f>
        <v>39514.800000000003</v>
      </c>
      <c r="U4" s="70"/>
      <c r="W4" s="5"/>
      <c r="X4" s="5"/>
      <c r="Y4" s="5"/>
      <c r="Z4" s="5"/>
      <c r="AA4" s="5"/>
      <c r="AB4" s="5"/>
    </row>
    <row r="5" spans="1:29" ht="19.899999999999999" customHeight="1" x14ac:dyDescent="0.25">
      <c r="A5" s="1" t="s">
        <v>27</v>
      </c>
      <c r="B5" s="5"/>
      <c r="C5" s="5"/>
      <c r="D5" s="5"/>
      <c r="E5" s="5"/>
      <c r="F5" s="5"/>
      <c r="G5" s="5">
        <f>F4*0.92</f>
        <v>2796.43</v>
      </c>
      <c r="H5" s="5"/>
      <c r="I5" s="5"/>
      <c r="J5" s="5"/>
      <c r="K5" s="5"/>
      <c r="L5" s="5"/>
      <c r="M5" s="5"/>
      <c r="N5" s="5"/>
      <c r="O5" s="5"/>
      <c r="P5" s="6">
        <f t="shared" si="1"/>
        <v>2796.43</v>
      </c>
      <c r="W5" s="5"/>
      <c r="X5" s="5"/>
      <c r="Y5" s="5"/>
      <c r="Z5" s="5"/>
      <c r="AA5" s="5"/>
      <c r="AB5" s="5"/>
    </row>
    <row r="6" spans="1:29" s="1" customFormat="1" ht="19.899999999999999" customHeight="1" x14ac:dyDescent="0.25">
      <c r="A6" s="1" t="s">
        <v>28</v>
      </c>
      <c r="B6" s="5">
        <f>B4*25.68%</f>
        <v>780.57</v>
      </c>
      <c r="C6" s="5">
        <f t="shared" ref="C6:O6" si="2">C4*25.68%</f>
        <v>780.57</v>
      </c>
      <c r="D6" s="5">
        <f t="shared" si="2"/>
        <v>780.57</v>
      </c>
      <c r="E6" s="5">
        <f t="shared" si="2"/>
        <v>780.57</v>
      </c>
      <c r="F6" s="5">
        <f t="shared" si="2"/>
        <v>780.57</v>
      </c>
      <c r="G6" s="5">
        <f t="shared" si="2"/>
        <v>0</v>
      </c>
      <c r="H6" s="5">
        <f t="shared" si="2"/>
        <v>780.57</v>
      </c>
      <c r="I6" s="5">
        <f t="shared" si="2"/>
        <v>780.57</v>
      </c>
      <c r="J6" s="5">
        <f t="shared" si="2"/>
        <v>780.57</v>
      </c>
      <c r="K6" s="5">
        <f t="shared" si="2"/>
        <v>780.57</v>
      </c>
      <c r="L6" s="5">
        <f t="shared" si="2"/>
        <v>780.57</v>
      </c>
      <c r="M6" s="5">
        <f t="shared" si="2"/>
        <v>780.57</v>
      </c>
      <c r="N6" s="5">
        <f t="shared" si="2"/>
        <v>780.57</v>
      </c>
      <c r="O6" s="5">
        <f t="shared" si="2"/>
        <v>780.57</v>
      </c>
      <c r="P6" s="6">
        <f>SUM(B6:O6)</f>
        <v>10147.41</v>
      </c>
      <c r="T6" s="70"/>
      <c r="U6" s="80"/>
      <c r="W6" s="5"/>
      <c r="X6" s="5"/>
      <c r="Y6" s="5"/>
      <c r="Z6" s="5"/>
      <c r="AA6" s="5"/>
      <c r="AB6" s="5"/>
    </row>
    <row r="7" spans="1:29" s="1" customFormat="1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>SUM(B7:O7)</f>
        <v>0</v>
      </c>
      <c r="U7" s="91"/>
      <c r="W7" s="5"/>
      <c r="X7" s="5"/>
      <c r="Y7" s="5"/>
      <c r="Z7" s="5"/>
      <c r="AA7" s="5"/>
      <c r="AB7" s="5"/>
    </row>
    <row r="8" spans="1:29" s="1" customFormat="1" ht="19.899999999999999" customHeight="1" x14ac:dyDescent="0.25">
      <c r="A8" s="1" t="s">
        <v>30</v>
      </c>
      <c r="B8" s="5">
        <f t="shared" ref="B8:O8" si="3">-B4*0.126%</f>
        <v>-3.83</v>
      </c>
      <c r="C8" s="5">
        <f t="shared" si="3"/>
        <v>-3.83</v>
      </c>
      <c r="D8" s="5">
        <f t="shared" si="3"/>
        <v>-3.83</v>
      </c>
      <c r="E8" s="5">
        <f t="shared" si="3"/>
        <v>-3.83</v>
      </c>
      <c r="F8" s="5">
        <f t="shared" si="3"/>
        <v>-3.83</v>
      </c>
      <c r="G8" s="5">
        <f>-G5*0.126%</f>
        <v>-3.52</v>
      </c>
      <c r="H8" s="5">
        <f t="shared" si="3"/>
        <v>-3.83</v>
      </c>
      <c r="I8" s="5">
        <f t="shared" si="3"/>
        <v>-3.83</v>
      </c>
      <c r="J8" s="5">
        <f t="shared" si="3"/>
        <v>-3.83</v>
      </c>
      <c r="K8" s="5">
        <f t="shared" si="3"/>
        <v>-3.83</v>
      </c>
      <c r="L8" s="5">
        <f t="shared" si="3"/>
        <v>-3.83</v>
      </c>
      <c r="M8" s="5">
        <f t="shared" si="3"/>
        <v>-3.83</v>
      </c>
      <c r="N8" s="5">
        <f t="shared" si="3"/>
        <v>-3.83</v>
      </c>
      <c r="O8" s="5">
        <f t="shared" si="3"/>
        <v>-3.83</v>
      </c>
      <c r="P8" s="6">
        <f>SUM(B8:O8)</f>
        <v>-53.31</v>
      </c>
      <c r="T8" s="67"/>
      <c r="W8" s="5"/>
      <c r="X8" s="5"/>
      <c r="Y8" s="5"/>
      <c r="Z8" s="5"/>
      <c r="AA8" s="5"/>
      <c r="AB8" s="5"/>
    </row>
    <row r="9" spans="1:29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1"/>
        <v>0</v>
      </c>
      <c r="X9" s="5"/>
      <c r="Y9" s="5"/>
      <c r="Z9" s="5"/>
      <c r="AA9" s="5"/>
      <c r="AB9" s="5"/>
    </row>
    <row r="10" spans="1:29" s="11" customFormat="1" ht="19.899999999999999" customHeight="1" x14ac:dyDescent="0.3">
      <c r="A10" s="7" t="s">
        <v>31</v>
      </c>
      <c r="B10" s="16">
        <f>SUM(B4:B9)</f>
        <v>3816.34</v>
      </c>
      <c r="C10" s="16">
        <f>SUM(C4:C9)</f>
        <v>3816.34</v>
      </c>
      <c r="D10" s="16">
        <f>SUM(D4:D9)</f>
        <v>3816.34</v>
      </c>
      <c r="E10" s="16">
        <f>SUM(E4:E9)</f>
        <v>3816.34</v>
      </c>
      <c r="F10" s="16">
        <f>SUM(F4:F9)</f>
        <v>3816.34</v>
      </c>
      <c r="G10" s="16">
        <f t="shared" ref="G10:O10" si="4">SUM(G4:G9)</f>
        <v>2792.91</v>
      </c>
      <c r="H10" s="16">
        <f t="shared" si="4"/>
        <v>3816.34</v>
      </c>
      <c r="I10" s="16">
        <f t="shared" si="4"/>
        <v>3816.34</v>
      </c>
      <c r="J10" s="16">
        <f t="shared" si="4"/>
        <v>3816.34</v>
      </c>
      <c r="K10" s="16">
        <f>SUM(K4:K9)</f>
        <v>3816.34</v>
      </c>
      <c r="L10" s="16">
        <f>SUM(L4:L9)</f>
        <v>3816.34</v>
      </c>
      <c r="M10" s="16">
        <f>SUM(M4:M9)</f>
        <v>3816.34</v>
      </c>
      <c r="N10" s="16">
        <f>SUM(N4:N9)</f>
        <v>3816.34</v>
      </c>
      <c r="O10" s="16">
        <f t="shared" si="4"/>
        <v>3816.34</v>
      </c>
      <c r="P10" s="9">
        <f t="shared" si="1"/>
        <v>52405.33</v>
      </c>
      <c r="Q10" s="1"/>
      <c r="R10" s="1"/>
      <c r="W10" s="5"/>
      <c r="X10" s="5"/>
      <c r="Y10" s="5"/>
      <c r="Z10" s="5"/>
      <c r="AA10" s="5"/>
      <c r="AB10" s="5"/>
      <c r="AC10" s="1"/>
    </row>
    <row r="11" spans="1:29" ht="19.899999999999999" customHeight="1" x14ac:dyDescent="0.25">
      <c r="A11" s="1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6">
        <f t="shared" si="1"/>
        <v>0</v>
      </c>
      <c r="W11" s="5"/>
      <c r="X11" s="5"/>
      <c r="Y11" s="5"/>
      <c r="Z11" s="5"/>
      <c r="AA11" s="5"/>
      <c r="AB11" s="5"/>
    </row>
    <row r="12" spans="1:29" ht="19.899999999999999" customHeight="1" x14ac:dyDescent="0.25">
      <c r="A12" s="1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">
        <f t="shared" si="1"/>
        <v>0</v>
      </c>
      <c r="W12" s="5"/>
      <c r="X12" s="5"/>
      <c r="Y12" s="5"/>
      <c r="Z12" s="5"/>
      <c r="AA12" s="5"/>
      <c r="AB12" s="5"/>
    </row>
    <row r="13" spans="1:29" ht="19.899999999999999" customHeight="1" x14ac:dyDescent="0.25">
      <c r="A13" s="1" t="s">
        <v>34</v>
      </c>
      <c r="B13" s="1">
        <v>137.4</v>
      </c>
      <c r="C13" s="1">
        <v>137.4</v>
      </c>
      <c r="D13" s="1">
        <v>137.4</v>
      </c>
      <c r="E13" s="1">
        <v>137.4</v>
      </c>
      <c r="F13" s="1">
        <v>137.4</v>
      </c>
      <c r="G13" s="12"/>
      <c r="H13" s="1">
        <v>137.4</v>
      </c>
      <c r="I13" s="1">
        <v>137.4</v>
      </c>
      <c r="J13" s="1">
        <v>68.7</v>
      </c>
      <c r="K13" s="1">
        <v>137.4</v>
      </c>
      <c r="L13" s="1">
        <v>137.4</v>
      </c>
      <c r="M13" s="1">
        <v>137.4</v>
      </c>
      <c r="N13" s="1">
        <v>103.05</v>
      </c>
      <c r="O13" s="15"/>
      <c r="P13" s="6">
        <f t="shared" si="1"/>
        <v>1545.75</v>
      </c>
      <c r="W13" s="5"/>
      <c r="X13" s="5"/>
      <c r="Y13" s="5"/>
      <c r="Z13" s="5"/>
      <c r="AA13" s="5"/>
      <c r="AB13" s="5"/>
    </row>
    <row r="14" spans="1:29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15"/>
      <c r="P14" s="6">
        <f t="shared" si="1"/>
        <v>0</v>
      </c>
      <c r="T14"/>
      <c r="W14" s="5"/>
      <c r="X14" s="5"/>
      <c r="Y14" s="5"/>
      <c r="Z14" s="5"/>
      <c r="AA14" s="5"/>
      <c r="AB14" s="5"/>
    </row>
    <row r="15" spans="1:29" s="11" customFormat="1" ht="19.899999999999999" customHeight="1" x14ac:dyDescent="0.3">
      <c r="A15" s="7" t="s">
        <v>25</v>
      </c>
      <c r="B15" s="8">
        <f t="shared" ref="B15:G15" si="5">SUM(B10:B14)</f>
        <v>3953.74</v>
      </c>
      <c r="C15" s="8">
        <f t="shared" si="5"/>
        <v>3953.74</v>
      </c>
      <c r="D15" s="8">
        <f t="shared" si="5"/>
        <v>3953.74</v>
      </c>
      <c r="E15" s="8">
        <f t="shared" si="5"/>
        <v>3953.74</v>
      </c>
      <c r="F15" s="8">
        <f t="shared" si="5"/>
        <v>3953.74</v>
      </c>
      <c r="G15" s="8">
        <f t="shared" si="5"/>
        <v>2792.91</v>
      </c>
      <c r="H15" s="8">
        <f t="shared" ref="H15:N15" si="6">SUM(H10:H14)</f>
        <v>3953.74</v>
      </c>
      <c r="I15" s="8">
        <f t="shared" si="6"/>
        <v>3953.74</v>
      </c>
      <c r="J15" s="8">
        <f t="shared" si="6"/>
        <v>3885.04</v>
      </c>
      <c r="K15" s="8">
        <f t="shared" si="6"/>
        <v>3953.74</v>
      </c>
      <c r="L15" s="8">
        <f t="shared" si="6"/>
        <v>3953.74</v>
      </c>
      <c r="M15" s="8">
        <f t="shared" si="6"/>
        <v>3953.74</v>
      </c>
      <c r="N15" s="8">
        <f t="shared" si="6"/>
        <v>3919.39</v>
      </c>
      <c r="O15" s="16">
        <f t="shared" ref="O15" si="7">SUM(O10:O14)</f>
        <v>3816.34</v>
      </c>
      <c r="P15" s="9">
        <f>SUM(P10:P14)</f>
        <v>53951.08</v>
      </c>
      <c r="Q15"/>
      <c r="R15" s="1"/>
      <c r="T15"/>
      <c r="W15" s="5"/>
      <c r="X15" s="5"/>
      <c r="Y15" s="5"/>
      <c r="Z15" s="5"/>
      <c r="AA15" s="5"/>
      <c r="AB15" s="5"/>
      <c r="AC15" s="1"/>
    </row>
    <row r="16" spans="1:29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7" t="s">
        <v>35</v>
      </c>
      <c r="P16" s="13">
        <f>SUM(B15:O15)</f>
        <v>53951.08</v>
      </c>
      <c r="Q16" s="5"/>
      <c r="W16" s="5"/>
      <c r="X16" s="5"/>
      <c r="Y16" s="5"/>
      <c r="Z16" s="5"/>
      <c r="AA16" s="5"/>
      <c r="AB16" s="5"/>
    </row>
    <row r="17" spans="1:29" s="11" customFormat="1" ht="19.899999999999999" customHeight="1" x14ac:dyDescent="0.3">
      <c r="A17" s="7" t="s">
        <v>20</v>
      </c>
      <c r="B17" s="8">
        <f>B4*18.8%</f>
        <v>571.44000000000005</v>
      </c>
      <c r="C17" s="8">
        <f t="shared" ref="C17:N17" si="8">C4*18.8%</f>
        <v>571.44000000000005</v>
      </c>
      <c r="D17" s="8">
        <f t="shared" si="8"/>
        <v>571.44000000000005</v>
      </c>
      <c r="E17" s="8">
        <f t="shared" si="8"/>
        <v>571.44000000000005</v>
      </c>
      <c r="F17" s="8">
        <f t="shared" si="8"/>
        <v>571.44000000000005</v>
      </c>
      <c r="G17" s="8">
        <f t="shared" si="8"/>
        <v>0</v>
      </c>
      <c r="H17" s="8">
        <f t="shared" si="8"/>
        <v>571.44000000000005</v>
      </c>
      <c r="I17" s="8">
        <f t="shared" si="8"/>
        <v>571.44000000000005</v>
      </c>
      <c r="J17" s="8">
        <f t="shared" si="8"/>
        <v>571.44000000000005</v>
      </c>
      <c r="K17" s="8">
        <f t="shared" si="8"/>
        <v>571.44000000000005</v>
      </c>
      <c r="L17" s="8">
        <f t="shared" si="8"/>
        <v>571.44000000000005</v>
      </c>
      <c r="M17" s="8">
        <f t="shared" si="8"/>
        <v>571.44000000000005</v>
      </c>
      <c r="N17" s="8">
        <f t="shared" si="8"/>
        <v>571.44000000000005</v>
      </c>
      <c r="O17" s="16"/>
      <c r="P17" s="9">
        <f>SUM(B17:O17)</f>
        <v>6857.28</v>
      </c>
      <c r="Q17" s="10"/>
      <c r="R17" s="1"/>
      <c r="W17" s="5"/>
      <c r="X17" s="5"/>
      <c r="Y17" s="5"/>
      <c r="Z17" s="5"/>
      <c r="AA17" s="5"/>
      <c r="AB17" s="5"/>
      <c r="AC17" s="1"/>
    </row>
    <row r="18" spans="1:29" s="11" customFormat="1" ht="19.899999999999999" customHeight="1" x14ac:dyDescent="0.3">
      <c r="A18" s="7" t="s">
        <v>21</v>
      </c>
      <c r="B18" s="8">
        <f>$O10/12</f>
        <v>318.02999999999997</v>
      </c>
      <c r="C18" s="8">
        <f t="shared" ref="C18:N18" si="9">$O10/12</f>
        <v>318.02999999999997</v>
      </c>
      <c r="D18" s="8">
        <f t="shared" si="9"/>
        <v>318.02999999999997</v>
      </c>
      <c r="E18" s="8">
        <f t="shared" si="9"/>
        <v>318.02999999999997</v>
      </c>
      <c r="F18" s="8">
        <f t="shared" si="9"/>
        <v>318.02999999999997</v>
      </c>
      <c r="G18" s="8"/>
      <c r="H18" s="8">
        <f t="shared" si="9"/>
        <v>318.02999999999997</v>
      </c>
      <c r="I18" s="8">
        <f t="shared" si="9"/>
        <v>318.02999999999997</v>
      </c>
      <c r="J18" s="8">
        <f t="shared" si="9"/>
        <v>318.02999999999997</v>
      </c>
      <c r="K18" s="8">
        <f t="shared" si="9"/>
        <v>318.02999999999997</v>
      </c>
      <c r="L18" s="8">
        <f t="shared" si="9"/>
        <v>318.02999999999997</v>
      </c>
      <c r="M18" s="8">
        <f t="shared" si="9"/>
        <v>318.02999999999997</v>
      </c>
      <c r="N18" s="8">
        <f t="shared" si="9"/>
        <v>318.02999999999997</v>
      </c>
      <c r="O18" s="16"/>
      <c r="P18" s="9">
        <f>SUM(B18:O18)</f>
        <v>3816.36</v>
      </c>
      <c r="Q18" s="10"/>
      <c r="R18" s="1"/>
    </row>
    <row r="19" spans="1:29" x14ac:dyDescent="0.3">
      <c r="O19" s="18"/>
    </row>
    <row r="20" spans="1:29" s="11" customFormat="1" ht="19.899999999999999" customHeight="1" x14ac:dyDescent="0.3">
      <c r="A20" s="7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6"/>
      <c r="P20" s="9">
        <f>SUM(B20:O20)</f>
        <v>0</v>
      </c>
      <c r="Q20" s="10"/>
      <c r="R20" s="1"/>
    </row>
    <row r="21" spans="1:29" x14ac:dyDescent="0.3">
      <c r="O21"/>
      <c r="P21" s="11"/>
    </row>
    <row r="22" spans="1:29" x14ac:dyDescent="0.3">
      <c r="B22" s="1">
        <f t="shared" ref="B22:F22" si="10">B13/6.87</f>
        <v>20</v>
      </c>
      <c r="C22" s="1">
        <f t="shared" si="10"/>
        <v>20</v>
      </c>
      <c r="D22" s="1">
        <f t="shared" si="10"/>
        <v>20</v>
      </c>
      <c r="E22" s="1">
        <f t="shared" si="10"/>
        <v>20</v>
      </c>
      <c r="F22" s="1">
        <f t="shared" si="10"/>
        <v>20</v>
      </c>
      <c r="H22" s="1">
        <f>H13/6.87</f>
        <v>20</v>
      </c>
      <c r="I22" s="1">
        <f t="shared" ref="I22:N22" si="11">I13/6.87</f>
        <v>20</v>
      </c>
      <c r="J22" s="1">
        <f t="shared" si="11"/>
        <v>10</v>
      </c>
      <c r="K22" s="1">
        <f t="shared" si="11"/>
        <v>20</v>
      </c>
      <c r="L22" s="1">
        <f t="shared" si="11"/>
        <v>20</v>
      </c>
      <c r="M22" s="1">
        <f t="shared" si="11"/>
        <v>20</v>
      </c>
      <c r="N22" s="1">
        <f t="shared" si="11"/>
        <v>15</v>
      </c>
      <c r="O22"/>
      <c r="P22" s="9">
        <f>SUM(B22:O22)</f>
        <v>225</v>
      </c>
      <c r="Q22" s="11"/>
    </row>
    <row r="23" spans="1:29" s="1" customFormat="1" x14ac:dyDescent="0.3">
      <c r="O23" s="13"/>
    </row>
    <row r="24" spans="1:29" x14ac:dyDescent="0.3">
      <c r="O24"/>
    </row>
    <row r="27" spans="1:29" x14ac:dyDescent="0.3">
      <c r="V27" s="87"/>
    </row>
    <row r="28" spans="1:29" x14ac:dyDescent="0.3">
      <c r="V28" s="87"/>
    </row>
    <row r="29" spans="1:29" x14ac:dyDescent="0.3">
      <c r="V29" s="87"/>
    </row>
    <row r="32" spans="1:29" x14ac:dyDescent="0.3">
      <c r="V32" s="87"/>
    </row>
  </sheetData>
  <printOptions horizontalCentered="1"/>
  <pageMargins left="0.19652777777777777" right="0.19652777777777777" top="0.78749999999999998" bottom="1.2194444444444446" header="0.51180555555555562" footer="0.78749999999999998"/>
  <pageSetup paperSize="9" firstPageNumber="0" orientation="landscape" horizontalDpi="300" verticalDpi="300" r:id="rId1"/>
  <headerFooter alignWithMargins="0">
    <oddFooter xml:space="preserve">&amp;L&amp;"Times New Roman,Normal"&amp;9NOMSOCIETE&amp;C&amp;"Times New Roman,Normal"&amp;12Page &amp;P&amp;R&amp;"Times New Roman,Normal"&amp;12&amp;F
&amp;A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"/>
  <sheetViews>
    <sheetView showZeros="0" showOutlineSymbols="0" zoomScaleNormal="85" workbookViewId="0">
      <selection activeCell="I4" sqref="I4"/>
    </sheetView>
  </sheetViews>
  <sheetFormatPr defaultColWidth="11.7265625" defaultRowHeight="13" x14ac:dyDescent="0.3"/>
  <cols>
    <col min="1" max="1" width="15.81640625" style="1" customWidth="1"/>
    <col min="2" max="15" width="8.54296875" style="1" customWidth="1"/>
    <col min="16" max="16" width="10" style="2" customWidth="1"/>
    <col min="17" max="17" width="8.54296875" style="1" customWidth="1"/>
    <col min="18" max="255" width="11.7265625" style="1" customWidth="1"/>
  </cols>
  <sheetData>
    <row r="1" spans="1:31" ht="15.5" x14ac:dyDescent="0.35">
      <c r="A1" s="3" t="s">
        <v>73</v>
      </c>
    </row>
    <row r="2" spans="1:31" x14ac:dyDescent="0.3">
      <c r="I2" s="18"/>
      <c r="J2" s="18"/>
      <c r="K2" s="18"/>
      <c r="L2" s="18"/>
      <c r="M2" s="18"/>
      <c r="N2" s="18"/>
    </row>
    <row r="3" spans="1:31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92" t="s">
        <v>14</v>
      </c>
      <c r="O3" s="22" t="s">
        <v>52</v>
      </c>
      <c r="P3" s="4" t="s">
        <v>25</v>
      </c>
    </row>
    <row r="4" spans="1:31" ht="19.899999999999999" customHeight="1" x14ac:dyDescent="0.25">
      <c r="A4" s="1" t="s">
        <v>26</v>
      </c>
      <c r="B4" s="5">
        <f>'2018'!D14</f>
        <v>3073.94</v>
      </c>
      <c r="C4" s="5">
        <f>B4</f>
        <v>3073.94</v>
      </c>
      <c r="D4" s="5">
        <f t="shared" ref="D4:O4" si="0">C4</f>
        <v>3073.94</v>
      </c>
      <c r="E4" s="5">
        <f t="shared" si="0"/>
        <v>3073.94</v>
      </c>
      <c r="F4" s="5">
        <f t="shared" si="0"/>
        <v>3073.94</v>
      </c>
      <c r="H4" s="176">
        <v>3300</v>
      </c>
      <c r="I4" s="15">
        <v>3300</v>
      </c>
      <c r="J4" s="5">
        <f t="shared" si="0"/>
        <v>3300</v>
      </c>
      <c r="K4" s="5">
        <f t="shared" si="0"/>
        <v>3300</v>
      </c>
      <c r="L4" s="5">
        <f t="shared" si="0"/>
        <v>3300</v>
      </c>
      <c r="M4" s="5">
        <f t="shared" si="0"/>
        <v>3300</v>
      </c>
      <c r="N4" s="5">
        <f t="shared" si="0"/>
        <v>3300</v>
      </c>
      <c r="O4" s="5">
        <f t="shared" si="0"/>
        <v>3300</v>
      </c>
      <c r="P4" s="6">
        <f t="shared" ref="P4:P14" si="1">SUM(B4:O4)</f>
        <v>41769.699999999997</v>
      </c>
      <c r="W4" s="70"/>
      <c r="Y4" s="5"/>
      <c r="Z4" s="5"/>
      <c r="AA4" s="5"/>
      <c r="AB4" s="5"/>
      <c r="AC4" s="5"/>
      <c r="AD4" s="5"/>
    </row>
    <row r="5" spans="1:31" ht="19.899999999999999" customHeight="1" x14ac:dyDescent="0.25">
      <c r="A5" s="1" t="s">
        <v>27</v>
      </c>
      <c r="B5" s="5"/>
      <c r="C5" s="5"/>
      <c r="D5" s="5"/>
      <c r="E5" s="5"/>
      <c r="F5" s="5"/>
      <c r="G5" s="5">
        <f>F4*0.92</f>
        <v>2828.02</v>
      </c>
      <c r="H5" s="5"/>
      <c r="I5" s="5"/>
      <c r="J5" s="5"/>
      <c r="K5" s="5"/>
      <c r="L5" s="5"/>
      <c r="M5" s="5"/>
      <c r="N5" s="5"/>
      <c r="O5" s="5"/>
      <c r="P5" s="6">
        <f t="shared" si="1"/>
        <v>2828.02</v>
      </c>
      <c r="Y5" s="5"/>
      <c r="Z5" s="5"/>
      <c r="AA5" s="5"/>
      <c r="AB5" s="5"/>
      <c r="AC5" s="5"/>
      <c r="AD5" s="5"/>
    </row>
    <row r="6" spans="1:31" ht="19.899999999999999" customHeight="1" x14ac:dyDescent="0.25">
      <c r="A6" s="1" t="s">
        <v>28</v>
      </c>
      <c r="B6" s="5">
        <f>B4*25.68%</f>
        <v>789.39</v>
      </c>
      <c r="C6" s="5">
        <f t="shared" ref="C6:O6" si="2">C4*25.68%</f>
        <v>789.39</v>
      </c>
      <c r="D6" s="5">
        <f t="shared" si="2"/>
        <v>789.39</v>
      </c>
      <c r="E6" s="5">
        <f t="shared" si="2"/>
        <v>789.39</v>
      </c>
      <c r="F6" s="5">
        <f t="shared" si="2"/>
        <v>789.39</v>
      </c>
      <c r="G6" s="5">
        <f t="shared" si="2"/>
        <v>0</v>
      </c>
      <c r="H6" s="5">
        <f t="shared" si="2"/>
        <v>847.44</v>
      </c>
      <c r="I6" s="5">
        <f t="shared" si="2"/>
        <v>847.44</v>
      </c>
      <c r="J6" s="5">
        <f t="shared" si="2"/>
        <v>847.44</v>
      </c>
      <c r="K6" s="5">
        <f t="shared" si="2"/>
        <v>847.44</v>
      </c>
      <c r="L6" s="5">
        <f t="shared" si="2"/>
        <v>847.44</v>
      </c>
      <c r="M6" s="5">
        <f t="shared" si="2"/>
        <v>847.44</v>
      </c>
      <c r="N6" s="5">
        <f t="shared" si="2"/>
        <v>847.44</v>
      </c>
      <c r="O6" s="5">
        <f t="shared" si="2"/>
        <v>847.44</v>
      </c>
      <c r="P6" s="6">
        <f t="shared" si="1"/>
        <v>10726.47</v>
      </c>
      <c r="V6" s="70"/>
      <c r="W6" s="80"/>
      <c r="Y6" s="5"/>
      <c r="Z6" s="5"/>
      <c r="AA6" s="5"/>
      <c r="AB6" s="5"/>
      <c r="AC6" s="5"/>
      <c r="AD6" s="5"/>
    </row>
    <row r="7" spans="1:31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 t="shared" si="1"/>
        <v>0</v>
      </c>
      <c r="W7" s="91"/>
      <c r="Y7" s="5"/>
      <c r="Z7" s="5"/>
      <c r="AA7" s="5"/>
      <c r="AB7" s="5"/>
      <c r="AC7" s="5"/>
      <c r="AD7" s="5"/>
    </row>
    <row r="8" spans="1:31" ht="19.899999999999999" customHeight="1" x14ac:dyDescent="0.25">
      <c r="A8" s="1" t="s">
        <v>30</v>
      </c>
      <c r="B8" s="5">
        <f t="shared" ref="B8:O8" si="3">-B4*0.126%</f>
        <v>-3.87</v>
      </c>
      <c r="C8" s="5">
        <f t="shared" si="3"/>
        <v>-3.87</v>
      </c>
      <c r="D8" s="5">
        <f t="shared" si="3"/>
        <v>-3.87</v>
      </c>
      <c r="E8" s="5">
        <f t="shared" si="3"/>
        <v>-3.87</v>
      </c>
      <c r="F8" s="5">
        <f t="shared" si="3"/>
        <v>-3.87</v>
      </c>
      <c r="G8" s="5">
        <f>-G5*0.126%</f>
        <v>-3.56</v>
      </c>
      <c r="H8" s="5">
        <f t="shared" si="3"/>
        <v>-4.16</v>
      </c>
      <c r="I8" s="5">
        <f t="shared" si="3"/>
        <v>-4.16</v>
      </c>
      <c r="J8" s="5">
        <f t="shared" si="3"/>
        <v>-4.16</v>
      </c>
      <c r="K8" s="5">
        <f t="shared" si="3"/>
        <v>-4.16</v>
      </c>
      <c r="L8" s="5">
        <f t="shared" si="3"/>
        <v>-4.16</v>
      </c>
      <c r="M8" s="5">
        <f t="shared" si="3"/>
        <v>-4.16</v>
      </c>
      <c r="N8" s="5">
        <f t="shared" si="3"/>
        <v>-4.16</v>
      </c>
      <c r="O8" s="5">
        <f t="shared" si="3"/>
        <v>-4.16</v>
      </c>
      <c r="P8" s="6">
        <f t="shared" si="1"/>
        <v>-56.19</v>
      </c>
      <c r="V8" s="67"/>
      <c r="Y8" s="5"/>
      <c r="Z8" s="5"/>
      <c r="AA8" s="5"/>
      <c r="AB8" s="5"/>
      <c r="AC8" s="5"/>
      <c r="AD8" s="5"/>
    </row>
    <row r="9" spans="1:31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1"/>
        <v>0</v>
      </c>
      <c r="Z9" s="5"/>
      <c r="AA9" s="5"/>
      <c r="AB9" s="5"/>
      <c r="AC9" s="5"/>
      <c r="AD9" s="5"/>
    </row>
    <row r="10" spans="1:31" s="11" customFormat="1" ht="19.899999999999999" customHeight="1" x14ac:dyDescent="0.3">
      <c r="A10" s="7" t="s">
        <v>31</v>
      </c>
      <c r="B10" s="16">
        <f>SUM(B4:B9)</f>
        <v>3859.46</v>
      </c>
      <c r="C10" s="16">
        <f>SUM(C4:C9)</f>
        <v>3859.46</v>
      </c>
      <c r="D10" s="16">
        <f>SUM(D4:D9)</f>
        <v>3859.46</v>
      </c>
      <c r="E10" s="16">
        <f>SUM(E4:E9)</f>
        <v>3859.46</v>
      </c>
      <c r="F10" s="16">
        <f>SUM(F4:F9)</f>
        <v>3859.46</v>
      </c>
      <c r="G10" s="16">
        <f t="shared" ref="G10:O10" si="4">SUM(G4:G9)</f>
        <v>2824.46</v>
      </c>
      <c r="H10" s="16">
        <f t="shared" si="4"/>
        <v>4143.28</v>
      </c>
      <c r="I10" s="16">
        <f t="shared" si="4"/>
        <v>4143.28</v>
      </c>
      <c r="J10" s="16">
        <f t="shared" si="4"/>
        <v>4143.28</v>
      </c>
      <c r="K10" s="16">
        <f>SUM(K4:K9)</f>
        <v>4143.28</v>
      </c>
      <c r="L10" s="16">
        <f>SUM(L4:L9)</f>
        <v>4143.28</v>
      </c>
      <c r="M10" s="16">
        <f>SUM(M4:M9)</f>
        <v>4143.28</v>
      </c>
      <c r="N10" s="16">
        <f>SUM(N4:N9)</f>
        <v>4143.28</v>
      </c>
      <c r="O10" s="16">
        <f t="shared" si="4"/>
        <v>4143.28</v>
      </c>
      <c r="P10" s="9">
        <f t="shared" si="1"/>
        <v>55268</v>
      </c>
      <c r="Q10" s="1"/>
      <c r="R10" s="1"/>
      <c r="S10" s="1"/>
      <c r="T10" s="1"/>
      <c r="Y10" s="5"/>
      <c r="Z10" s="5"/>
      <c r="AA10" s="5"/>
      <c r="AB10" s="5"/>
      <c r="AC10" s="5"/>
      <c r="AD10" s="5"/>
      <c r="AE10" s="1"/>
    </row>
    <row r="11" spans="1:31" ht="19.899999999999999" customHeight="1" x14ac:dyDescent="0.25">
      <c r="A11" s="1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6">
        <f t="shared" si="1"/>
        <v>0</v>
      </c>
      <c r="Y11" s="5"/>
      <c r="Z11" s="5"/>
      <c r="AA11" s="5"/>
      <c r="AB11" s="5"/>
      <c r="AC11" s="5"/>
      <c r="AD11" s="5"/>
    </row>
    <row r="12" spans="1:31" ht="19.899999999999999" customHeight="1" x14ac:dyDescent="0.25">
      <c r="A12" s="1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">
        <f t="shared" si="1"/>
        <v>0</v>
      </c>
      <c r="Y12" s="5"/>
      <c r="Z12" s="5"/>
      <c r="AA12" s="5"/>
      <c r="AB12" s="5"/>
      <c r="AC12" s="5"/>
      <c r="AD12" s="5"/>
    </row>
    <row r="13" spans="1:31" ht="19.899999999999999" customHeight="1" x14ac:dyDescent="0.25">
      <c r="A13" s="1" t="s">
        <v>34</v>
      </c>
      <c r="B13" s="1">
        <v>137.4</v>
      </c>
      <c r="C13" s="1">
        <v>137.4</v>
      </c>
      <c r="D13" s="1">
        <v>137.4</v>
      </c>
      <c r="E13" s="1">
        <v>137.4</v>
      </c>
      <c r="F13" s="1">
        <v>137.4</v>
      </c>
      <c r="G13" s="12"/>
      <c r="H13" s="1">
        <v>137.4</v>
      </c>
      <c r="I13" s="1">
        <v>137.4</v>
      </c>
      <c r="J13" s="1">
        <v>68.7</v>
      </c>
      <c r="K13" s="1">
        <v>137.4</v>
      </c>
      <c r="L13" s="1">
        <v>137.4</v>
      </c>
      <c r="M13" s="1">
        <v>137.4</v>
      </c>
      <c r="N13" s="1">
        <v>103.05</v>
      </c>
      <c r="P13" s="6">
        <f t="shared" si="1"/>
        <v>1545.75</v>
      </c>
      <c r="Q13" s="5"/>
      <c r="Y13" s="5"/>
      <c r="Z13" s="5"/>
      <c r="AA13" s="5"/>
      <c r="AB13" s="5"/>
      <c r="AC13" s="5"/>
      <c r="AD13" s="5"/>
    </row>
    <row r="14" spans="1:31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15"/>
      <c r="P14" s="6">
        <f t="shared" si="1"/>
        <v>0</v>
      </c>
      <c r="Q14"/>
      <c r="R14"/>
      <c r="V14"/>
      <c r="Y14" s="5"/>
      <c r="Z14" s="5"/>
      <c r="AA14" s="5"/>
      <c r="AB14" s="5"/>
      <c r="AC14" s="5"/>
      <c r="AD14" s="5"/>
    </row>
    <row r="15" spans="1:31" s="11" customFormat="1" ht="19.899999999999999" customHeight="1" x14ac:dyDescent="0.3">
      <c r="A15" s="7" t="s">
        <v>25</v>
      </c>
      <c r="B15" s="8">
        <f t="shared" ref="B15:G15" si="5">SUM(B10:B14)</f>
        <v>3996.86</v>
      </c>
      <c r="C15" s="8">
        <f t="shared" si="5"/>
        <v>3996.86</v>
      </c>
      <c r="D15" s="8">
        <f t="shared" si="5"/>
        <v>3996.86</v>
      </c>
      <c r="E15" s="8">
        <f t="shared" si="5"/>
        <v>3996.86</v>
      </c>
      <c r="F15" s="8">
        <f t="shared" si="5"/>
        <v>3996.86</v>
      </c>
      <c r="G15" s="8">
        <f t="shared" si="5"/>
        <v>2824.46</v>
      </c>
      <c r="H15" s="8">
        <f t="shared" ref="H15:N15" si="6">SUM(H10:H14)</f>
        <v>4280.68</v>
      </c>
      <c r="I15" s="8">
        <f t="shared" si="6"/>
        <v>4280.68</v>
      </c>
      <c r="J15" s="8">
        <f t="shared" si="6"/>
        <v>4211.9799999999996</v>
      </c>
      <c r="K15" s="8">
        <f t="shared" si="6"/>
        <v>4280.68</v>
      </c>
      <c r="L15" s="8">
        <f t="shared" si="6"/>
        <v>4280.68</v>
      </c>
      <c r="M15" s="8">
        <f t="shared" si="6"/>
        <v>4280.68</v>
      </c>
      <c r="N15" s="8">
        <f t="shared" si="6"/>
        <v>4246.33</v>
      </c>
      <c r="O15" s="16">
        <f t="shared" ref="O15" si="7">SUM(O10:O14)</f>
        <v>4143.28</v>
      </c>
      <c r="P15" s="9">
        <f>SUM(P10:P14)</f>
        <v>56813.75</v>
      </c>
      <c r="Q15"/>
      <c r="R15"/>
      <c r="V15"/>
      <c r="Y15" s="5"/>
      <c r="Z15" s="5"/>
      <c r="AA15" s="5"/>
      <c r="AB15" s="5"/>
      <c r="AC15" s="5"/>
      <c r="AD15" s="5"/>
      <c r="AE15" s="1"/>
    </row>
    <row r="16" spans="1:31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7" t="s">
        <v>35</v>
      </c>
      <c r="P16" s="13">
        <f>SUM(B15:O15)</f>
        <v>56813.75</v>
      </c>
      <c r="Q16" s="5"/>
      <c r="Y16" s="5"/>
      <c r="Z16" s="5"/>
      <c r="AA16" s="5"/>
      <c r="AB16" s="5"/>
      <c r="AC16" s="5"/>
      <c r="AD16" s="5"/>
    </row>
    <row r="17" spans="1:31" s="11" customFormat="1" ht="19.899999999999999" customHeight="1" x14ac:dyDescent="0.3">
      <c r="A17" s="7" t="s">
        <v>20</v>
      </c>
      <c r="B17" s="8">
        <f>B4*18.8%</f>
        <v>577.9</v>
      </c>
      <c r="C17" s="8">
        <f t="shared" ref="C17:N17" si="8">C4*18.8%</f>
        <v>577.9</v>
      </c>
      <c r="D17" s="8">
        <f t="shared" si="8"/>
        <v>577.9</v>
      </c>
      <c r="E17" s="8">
        <f t="shared" si="8"/>
        <v>577.9</v>
      </c>
      <c r="F17" s="8">
        <f t="shared" si="8"/>
        <v>577.9</v>
      </c>
      <c r="G17" s="8">
        <f t="shared" si="8"/>
        <v>0</v>
      </c>
      <c r="H17" s="8">
        <f t="shared" si="8"/>
        <v>620.4</v>
      </c>
      <c r="I17" s="8">
        <f t="shared" si="8"/>
        <v>620.4</v>
      </c>
      <c r="J17" s="8">
        <f t="shared" si="8"/>
        <v>620.4</v>
      </c>
      <c r="K17" s="8">
        <f t="shared" si="8"/>
        <v>620.4</v>
      </c>
      <c r="L17" s="8">
        <f t="shared" si="8"/>
        <v>620.4</v>
      </c>
      <c r="M17" s="8">
        <f t="shared" si="8"/>
        <v>620.4</v>
      </c>
      <c r="N17" s="8">
        <f t="shared" si="8"/>
        <v>620.4</v>
      </c>
      <c r="O17" s="16"/>
      <c r="P17" s="9">
        <f>SUM(B17:O17)</f>
        <v>7232.3</v>
      </c>
      <c r="Q17" s="10"/>
      <c r="Y17" s="5"/>
      <c r="Z17" s="5"/>
      <c r="AA17" s="5"/>
      <c r="AB17" s="5"/>
      <c r="AC17" s="5"/>
      <c r="AD17" s="5"/>
      <c r="AE17" s="1"/>
    </row>
    <row r="18" spans="1:31" s="11" customFormat="1" ht="19.899999999999999" customHeight="1" x14ac:dyDescent="0.3">
      <c r="A18" s="7" t="s">
        <v>21</v>
      </c>
      <c r="B18" s="8">
        <f>$O10/12</f>
        <v>345.27</v>
      </c>
      <c r="C18" s="8">
        <f t="shared" ref="C18:N18" si="9">$O10/12</f>
        <v>345.27</v>
      </c>
      <c r="D18" s="8">
        <f t="shared" si="9"/>
        <v>345.27</v>
      </c>
      <c r="E18" s="8">
        <f t="shared" si="9"/>
        <v>345.27</v>
      </c>
      <c r="F18" s="8">
        <f t="shared" si="9"/>
        <v>345.27</v>
      </c>
      <c r="G18" s="8"/>
      <c r="H18" s="8">
        <f t="shared" si="9"/>
        <v>345.27</v>
      </c>
      <c r="I18" s="8">
        <f t="shared" si="9"/>
        <v>345.27</v>
      </c>
      <c r="J18" s="8">
        <f t="shared" si="9"/>
        <v>345.27</v>
      </c>
      <c r="K18" s="8">
        <f t="shared" si="9"/>
        <v>345.27</v>
      </c>
      <c r="L18" s="8">
        <f t="shared" si="9"/>
        <v>345.27</v>
      </c>
      <c r="M18" s="8">
        <f t="shared" si="9"/>
        <v>345.27</v>
      </c>
      <c r="N18" s="8">
        <f t="shared" si="9"/>
        <v>345.27</v>
      </c>
      <c r="O18" s="16"/>
      <c r="P18" s="9">
        <f>SUM(B18:O18)</f>
        <v>4143.24</v>
      </c>
      <c r="Q18" s="10"/>
    </row>
    <row r="19" spans="1:31" ht="12.5" x14ac:dyDescent="0.25">
      <c r="O19" s="18"/>
      <c r="P19" s="9">
        <f t="shared" ref="P19:P22" si="10">SUM(B19:O19)</f>
        <v>0</v>
      </c>
    </row>
    <row r="20" spans="1:31" s="11" customFormat="1" ht="19.899999999999999" customHeight="1" x14ac:dyDescent="0.3">
      <c r="A20" s="7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6"/>
      <c r="P20" s="9">
        <f t="shared" si="10"/>
        <v>0</v>
      </c>
      <c r="Q20" s="10"/>
    </row>
    <row r="21" spans="1:31" ht="12.5" x14ac:dyDescent="0.25">
      <c r="O21"/>
      <c r="P21" s="9">
        <f t="shared" si="10"/>
        <v>0</v>
      </c>
    </row>
    <row r="22" spans="1:31" ht="12.5" x14ac:dyDescent="0.25">
      <c r="B22" s="1">
        <f t="shared" ref="B22:F22" si="11">B13/6.87</f>
        <v>20</v>
      </c>
      <c r="C22" s="1">
        <f t="shared" si="11"/>
        <v>20</v>
      </c>
      <c r="D22" s="1">
        <f t="shared" si="11"/>
        <v>20</v>
      </c>
      <c r="E22" s="1">
        <f t="shared" si="11"/>
        <v>20</v>
      </c>
      <c r="F22" s="1">
        <f t="shared" si="11"/>
        <v>20</v>
      </c>
      <c r="H22" s="1">
        <f>H13/6.87</f>
        <v>20</v>
      </c>
      <c r="I22" s="1">
        <f t="shared" ref="I22:N22" si="12">I13/6.87</f>
        <v>20</v>
      </c>
      <c r="J22" s="1">
        <f t="shared" si="12"/>
        <v>10</v>
      </c>
      <c r="K22" s="1">
        <f t="shared" si="12"/>
        <v>20</v>
      </c>
      <c r="L22" s="1">
        <f t="shared" si="12"/>
        <v>20</v>
      </c>
      <c r="M22" s="1">
        <f t="shared" si="12"/>
        <v>20</v>
      </c>
      <c r="N22" s="1">
        <f t="shared" si="12"/>
        <v>15</v>
      </c>
      <c r="O22"/>
      <c r="P22" s="9">
        <f t="shared" si="10"/>
        <v>225</v>
      </c>
    </row>
    <row r="23" spans="1:31" x14ac:dyDescent="0.3">
      <c r="B23" s="1">
        <f>B13/4.47</f>
        <v>30.74</v>
      </c>
      <c r="C23" s="1">
        <f>C13/4.47</f>
        <v>30.74</v>
      </c>
      <c r="D23" s="1">
        <f>D13/4.47</f>
        <v>30.74</v>
      </c>
      <c r="E23" s="1">
        <f>E13/4.47</f>
        <v>30.74</v>
      </c>
      <c r="F23" s="1">
        <f>F13/4.47</f>
        <v>30.74</v>
      </c>
      <c r="H23" s="1">
        <f>H13/6.87</f>
        <v>20</v>
      </c>
      <c r="I23" s="1">
        <f t="shared" ref="I23:N23" si="13">I13/6.87</f>
        <v>20</v>
      </c>
      <c r="J23" s="1">
        <f t="shared" si="13"/>
        <v>10</v>
      </c>
      <c r="K23" s="1">
        <f t="shared" si="13"/>
        <v>20</v>
      </c>
      <c r="L23" s="1">
        <f t="shared" si="13"/>
        <v>20</v>
      </c>
      <c r="M23" s="1">
        <f t="shared" si="13"/>
        <v>20</v>
      </c>
      <c r="N23" s="1">
        <f t="shared" si="13"/>
        <v>15</v>
      </c>
      <c r="O23" s="13"/>
      <c r="P23" s="11"/>
    </row>
    <row r="24" spans="1:31" x14ac:dyDescent="0.3">
      <c r="O24"/>
    </row>
    <row r="27" spans="1:31" x14ac:dyDescent="0.3">
      <c r="X27" s="87"/>
    </row>
    <row r="28" spans="1:31" x14ac:dyDescent="0.3">
      <c r="X28" s="87"/>
    </row>
    <row r="29" spans="1:31" x14ac:dyDescent="0.3">
      <c r="X29" s="87"/>
    </row>
    <row r="32" spans="1:31" x14ac:dyDescent="0.3">
      <c r="X32" s="87"/>
    </row>
  </sheetData>
  <printOptions horizontalCentered="1"/>
  <pageMargins left="0.19652777777777777" right="0.19652777777777777" top="0.78749999999999998" bottom="1.2194444444444446" header="0.51180555555555562" footer="0.78749999999999998"/>
  <pageSetup paperSize="9" firstPageNumber="0" orientation="landscape" horizontalDpi="300" verticalDpi="300" r:id="rId1"/>
  <headerFooter alignWithMargins="0">
    <oddFooter xml:space="preserve">&amp;L&amp;"Times New Roman,Normal"&amp;9NOMSOCIETE&amp;C&amp;"Times New Roman,Normal"&amp;12Page &amp;P&amp;R&amp;"Times New Roman,Normal"&amp;12&amp;F
&amp;A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workbookViewId="0">
      <selection activeCell="B13" sqref="B13"/>
    </sheetView>
  </sheetViews>
  <sheetFormatPr defaultColWidth="11.7265625" defaultRowHeight="13" x14ac:dyDescent="0.3"/>
  <cols>
    <col min="1" max="1" width="15.81640625" style="1" customWidth="1"/>
    <col min="2" max="6" width="8.54296875" style="1" customWidth="1"/>
    <col min="7" max="7" width="11.7265625" style="1" customWidth="1"/>
    <col min="8" max="15" width="8.54296875" style="1" customWidth="1"/>
    <col min="16" max="16" width="10" style="2" customWidth="1"/>
    <col min="17" max="17" width="8.54296875" style="1" customWidth="1"/>
    <col min="18" max="255" width="11.7265625" style="1" customWidth="1"/>
  </cols>
  <sheetData>
    <row r="1" spans="1:28" ht="15.5" x14ac:dyDescent="0.35">
      <c r="A1" s="3" t="s">
        <v>81</v>
      </c>
    </row>
    <row r="2" spans="1:28" x14ac:dyDescent="0.3">
      <c r="J2" s="1" t="s">
        <v>92</v>
      </c>
    </row>
    <row r="3" spans="1:28" ht="19.899999999999999" customHeight="1" x14ac:dyDescent="0.3"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92" t="s">
        <v>14</v>
      </c>
      <c r="O3" s="22" t="s">
        <v>52</v>
      </c>
      <c r="P3" s="4" t="s">
        <v>25</v>
      </c>
    </row>
    <row r="4" spans="1:28" ht="19.899999999999999" customHeight="1" x14ac:dyDescent="0.25">
      <c r="A4" s="1" t="s">
        <v>26</v>
      </c>
      <c r="B4" s="5">
        <f>'2018'!D15</f>
        <v>3073.94</v>
      </c>
      <c r="C4" s="5">
        <f>B4</f>
        <v>3073.94</v>
      </c>
      <c r="D4" s="5">
        <f t="shared" ref="D4:N4" si="0">C4</f>
        <v>3073.94</v>
      </c>
      <c r="E4" s="5">
        <f t="shared" si="0"/>
        <v>3073.94</v>
      </c>
      <c r="F4" s="5">
        <f t="shared" si="0"/>
        <v>3073.94</v>
      </c>
      <c r="G4" s="5"/>
      <c r="H4" s="5">
        <f>F4</f>
        <v>3073.94</v>
      </c>
      <c r="I4" s="5">
        <f t="shared" si="0"/>
        <v>3073.94</v>
      </c>
      <c r="J4" s="176">
        <v>3300</v>
      </c>
      <c r="K4" s="5">
        <f t="shared" si="0"/>
        <v>3300</v>
      </c>
      <c r="L4" s="5">
        <f t="shared" si="0"/>
        <v>3300</v>
      </c>
      <c r="M4" s="5">
        <f t="shared" si="0"/>
        <v>3300</v>
      </c>
      <c r="N4" s="5">
        <f t="shared" si="0"/>
        <v>3300</v>
      </c>
      <c r="O4" s="5">
        <f t="shared" ref="O4" si="1">N4</f>
        <v>3300</v>
      </c>
      <c r="P4" s="6">
        <f t="shared" ref="P4:P8" si="2">SUM(B4:O4)</f>
        <v>41317.58</v>
      </c>
      <c r="Q4" s="5"/>
      <c r="W4" s="15"/>
      <c r="X4" s="15"/>
      <c r="Y4" s="15"/>
      <c r="Z4" s="15"/>
      <c r="AA4" s="15">
        <v>-36.99</v>
      </c>
      <c r="AB4" s="1" t="s">
        <v>62</v>
      </c>
    </row>
    <row r="5" spans="1:28" ht="19.899999999999999" customHeight="1" x14ac:dyDescent="0.25">
      <c r="A5" s="1" t="s">
        <v>27</v>
      </c>
      <c r="B5" s="5"/>
      <c r="C5" s="5"/>
      <c r="D5" s="5"/>
      <c r="E5" s="5"/>
      <c r="F5" s="5"/>
      <c r="G5" s="5">
        <f>F4*0.92</f>
        <v>2828.02</v>
      </c>
      <c r="H5" s="5"/>
      <c r="I5" s="5"/>
      <c r="J5" s="5"/>
      <c r="K5" s="5"/>
      <c r="L5" s="5"/>
      <c r="M5" s="5"/>
      <c r="N5" s="5"/>
      <c r="O5" s="5"/>
      <c r="P5" s="6">
        <f t="shared" si="2"/>
        <v>2828.02</v>
      </c>
      <c r="Q5" s="5"/>
      <c r="W5" s="15"/>
      <c r="X5" s="15"/>
      <c r="Y5" s="15"/>
      <c r="Z5" s="15"/>
      <c r="AA5" s="15">
        <v>-39.130000000000003</v>
      </c>
      <c r="AB5" s="1">
        <f>+Y5+AA5</f>
        <v>-39.130000000000003</v>
      </c>
    </row>
    <row r="6" spans="1:28" ht="19.899999999999999" customHeight="1" x14ac:dyDescent="0.25">
      <c r="A6" s="1" t="s">
        <v>28</v>
      </c>
      <c r="B6" s="5">
        <f>B4*25.68%</f>
        <v>789.39</v>
      </c>
      <c r="C6" s="5">
        <f t="shared" ref="C6:O6" si="3">C4*25.68%</f>
        <v>789.39</v>
      </c>
      <c r="D6" s="5">
        <f t="shared" si="3"/>
        <v>789.39</v>
      </c>
      <c r="E6" s="5">
        <f t="shared" si="3"/>
        <v>789.39</v>
      </c>
      <c r="F6" s="5">
        <f t="shared" si="3"/>
        <v>789.39</v>
      </c>
      <c r="G6" s="5"/>
      <c r="H6" s="5">
        <f t="shared" si="3"/>
        <v>789.39</v>
      </c>
      <c r="I6" s="5">
        <f t="shared" si="3"/>
        <v>789.39</v>
      </c>
      <c r="J6" s="5">
        <f t="shared" si="3"/>
        <v>847.44</v>
      </c>
      <c r="K6" s="5">
        <f t="shared" si="3"/>
        <v>847.44</v>
      </c>
      <c r="L6" s="5">
        <f t="shared" si="3"/>
        <v>847.44</v>
      </c>
      <c r="M6" s="5">
        <f t="shared" si="3"/>
        <v>847.44</v>
      </c>
      <c r="N6" s="5">
        <f t="shared" si="3"/>
        <v>847.44</v>
      </c>
      <c r="O6" s="5">
        <f t="shared" si="3"/>
        <v>847.44</v>
      </c>
      <c r="P6" s="6">
        <f t="shared" si="2"/>
        <v>10610.37</v>
      </c>
      <c r="Q6" s="5"/>
      <c r="R6" s="29"/>
      <c r="W6" s="15"/>
      <c r="X6" s="15"/>
      <c r="Y6" s="15"/>
      <c r="Z6" s="15"/>
      <c r="AA6" s="15">
        <v>-54.53</v>
      </c>
      <c r="AB6" s="1">
        <f>+Y6+AA6+Y7+AA7</f>
        <v>-38.04</v>
      </c>
    </row>
    <row r="7" spans="1:28" ht="19.899999999999999" customHeight="1" x14ac:dyDescent="0.25">
      <c r="A7" s="1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W7" s="15"/>
      <c r="X7" s="15"/>
      <c r="Y7" s="15"/>
      <c r="Z7" s="15"/>
      <c r="AA7" s="15">
        <f>-38.04-AA6</f>
        <v>16.489999999999998</v>
      </c>
    </row>
    <row r="8" spans="1:28" ht="19.899999999999999" customHeight="1" x14ac:dyDescent="0.25">
      <c r="A8" s="1" t="s">
        <v>30</v>
      </c>
      <c r="B8" s="5">
        <f t="shared" ref="B8:N8" si="4">-B4*0.126%</f>
        <v>-3.87</v>
      </c>
      <c r="C8" s="5">
        <f t="shared" si="4"/>
        <v>-3.87</v>
      </c>
      <c r="D8" s="5">
        <f t="shared" si="4"/>
        <v>-3.87</v>
      </c>
      <c r="E8" s="5">
        <f t="shared" si="4"/>
        <v>-3.87</v>
      </c>
      <c r="F8" s="5">
        <f t="shared" si="4"/>
        <v>-3.87</v>
      </c>
      <c r="G8" s="5">
        <f>-G5*0.126%</f>
        <v>-3.56</v>
      </c>
      <c r="H8" s="5">
        <f t="shared" si="4"/>
        <v>-3.87</v>
      </c>
      <c r="I8" s="5">
        <f t="shared" si="4"/>
        <v>-3.87</v>
      </c>
      <c r="J8" s="5">
        <f t="shared" si="4"/>
        <v>-4.16</v>
      </c>
      <c r="K8" s="5">
        <f t="shared" si="4"/>
        <v>-4.16</v>
      </c>
      <c r="L8" s="5">
        <f t="shared" si="4"/>
        <v>-4.16</v>
      </c>
      <c r="M8" s="5">
        <f t="shared" si="4"/>
        <v>-4.16</v>
      </c>
      <c r="N8" s="5">
        <f t="shared" si="4"/>
        <v>-4.16</v>
      </c>
      <c r="O8" s="5">
        <f t="shared" ref="O8" si="5">-O4*0.126%</f>
        <v>-4.16</v>
      </c>
      <c r="P8" s="6">
        <f t="shared" si="2"/>
        <v>-55.61</v>
      </c>
      <c r="Q8" s="5"/>
    </row>
    <row r="9" spans="1:28" ht="19.899999999999999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29"/>
    </row>
    <row r="10" spans="1:28" s="11" customFormat="1" ht="19.899999999999999" customHeight="1" x14ac:dyDescent="0.3">
      <c r="A10" s="7" t="s">
        <v>31</v>
      </c>
      <c r="B10" s="16">
        <f>SUM(B4:B9)</f>
        <v>3859.46</v>
      </c>
      <c r="C10" s="16">
        <f>SUM(C4:C9)</f>
        <v>3859.46</v>
      </c>
      <c r="D10" s="16">
        <f>SUM(D4:D9)</f>
        <v>3859.46</v>
      </c>
      <c r="E10" s="16">
        <f>SUM(E4:E9)</f>
        <v>3859.46</v>
      </c>
      <c r="F10" s="16">
        <f>SUM(F4:F9)</f>
        <v>3859.46</v>
      </c>
      <c r="G10" s="16">
        <f>SUM(G5:G9)</f>
        <v>2824.46</v>
      </c>
      <c r="H10" s="16">
        <f t="shared" ref="H10:O10" si="6">SUM(H4:H9)</f>
        <v>3859.46</v>
      </c>
      <c r="I10" s="16">
        <f t="shared" si="6"/>
        <v>3859.46</v>
      </c>
      <c r="J10" s="16">
        <f t="shared" si="6"/>
        <v>4143.28</v>
      </c>
      <c r="K10" s="16">
        <f>SUM(K4:K9)</f>
        <v>4143.28</v>
      </c>
      <c r="L10" s="16">
        <f>SUM(L4:L9)</f>
        <v>4143.28</v>
      </c>
      <c r="M10" s="16">
        <f>SUM(M4:M9)</f>
        <v>4143.28</v>
      </c>
      <c r="N10" s="16">
        <f>SUM(N4:N9)</f>
        <v>4143.28</v>
      </c>
      <c r="O10" s="16">
        <f t="shared" si="6"/>
        <v>4143.28</v>
      </c>
      <c r="P10" s="9">
        <f t="shared" ref="P10" si="7">SUM(B10:O10)</f>
        <v>54700.36</v>
      </c>
      <c r="Q10" s="10"/>
    </row>
    <row r="11" spans="1:28" ht="19.899999999999999" customHeight="1" x14ac:dyDescent="0.25">
      <c r="A11" s="1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6"/>
      <c r="Q11" s="5"/>
    </row>
    <row r="12" spans="1:28" ht="19.899999999999999" customHeight="1" x14ac:dyDescent="0.25">
      <c r="A12" s="1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"/>
      <c r="Q12" s="5"/>
    </row>
    <row r="13" spans="1:28" ht="19.899999999999999" customHeight="1" x14ac:dyDescent="0.25">
      <c r="A13" s="1" t="s">
        <v>34</v>
      </c>
      <c r="B13" s="1">
        <v>137.4</v>
      </c>
      <c r="C13" s="1">
        <v>137.4</v>
      </c>
      <c r="D13" s="1">
        <v>137.4</v>
      </c>
      <c r="E13" s="1">
        <v>137.4</v>
      </c>
      <c r="F13" s="1">
        <v>137.4</v>
      </c>
      <c r="G13" s="12"/>
      <c r="H13" s="1">
        <v>137.4</v>
      </c>
      <c r="I13" s="1">
        <v>137.4</v>
      </c>
      <c r="J13" s="1">
        <v>68.7</v>
      </c>
      <c r="K13" s="1">
        <v>137.4</v>
      </c>
      <c r="L13" s="1">
        <v>137.4</v>
      </c>
      <c r="M13" s="1">
        <v>137.4</v>
      </c>
      <c r="N13" s="1">
        <v>103.05</v>
      </c>
      <c r="O13" s="12"/>
      <c r="P13" s="6">
        <f t="shared" ref="P13" si="8">SUM(B13:O13)</f>
        <v>1545.75</v>
      </c>
      <c r="Q13" s="5"/>
    </row>
    <row r="14" spans="1:28" ht="19.899999999999999" customHeight="1" x14ac:dyDescent="0.25">
      <c r="B14" s="5"/>
      <c r="C14" s="5"/>
      <c r="D14" s="5"/>
      <c r="E14" s="5"/>
      <c r="F14" s="5"/>
      <c r="G14" s="12"/>
      <c r="H14" s="5"/>
      <c r="I14" s="5"/>
      <c r="J14" s="5"/>
      <c r="K14" s="5"/>
      <c r="L14" s="5"/>
      <c r="M14" s="5"/>
      <c r="N14" s="5"/>
      <c r="O14" s="12"/>
      <c r="P14" s="6"/>
      <c r="Q14"/>
      <c r="R14"/>
    </row>
    <row r="15" spans="1:28" s="11" customFormat="1" ht="19.899999999999999" customHeight="1" x14ac:dyDescent="0.3">
      <c r="A15" s="7" t="s">
        <v>25</v>
      </c>
      <c r="B15" s="8">
        <f t="shared" ref="B15:G15" si="9">SUM(B10:B14)</f>
        <v>3996.86</v>
      </c>
      <c r="C15" s="8">
        <f t="shared" si="9"/>
        <v>3996.86</v>
      </c>
      <c r="D15" s="8">
        <f t="shared" si="9"/>
        <v>3996.86</v>
      </c>
      <c r="E15" s="8">
        <f t="shared" si="9"/>
        <v>3996.86</v>
      </c>
      <c r="F15" s="8">
        <f t="shared" si="9"/>
        <v>3996.86</v>
      </c>
      <c r="G15" s="8">
        <f t="shared" si="9"/>
        <v>2824.46</v>
      </c>
      <c r="H15" s="8">
        <f t="shared" ref="H15:P15" si="10">SUM(H10:H14)</f>
        <v>3996.86</v>
      </c>
      <c r="I15" s="8">
        <f t="shared" si="10"/>
        <v>3996.86</v>
      </c>
      <c r="J15" s="8">
        <f t="shared" si="10"/>
        <v>4211.9799999999996</v>
      </c>
      <c r="K15" s="8">
        <f t="shared" si="10"/>
        <v>4280.68</v>
      </c>
      <c r="L15" s="8">
        <f t="shared" si="10"/>
        <v>4280.68</v>
      </c>
      <c r="M15" s="8">
        <f t="shared" si="10"/>
        <v>4280.68</v>
      </c>
      <c r="N15" s="8">
        <f t="shared" si="10"/>
        <v>4246.33</v>
      </c>
      <c r="O15" s="8">
        <f t="shared" si="10"/>
        <v>4143.28</v>
      </c>
      <c r="P15" s="9">
        <f t="shared" si="10"/>
        <v>56246.11</v>
      </c>
      <c r="Q15"/>
      <c r="R15"/>
    </row>
    <row r="16" spans="1:28" ht="19.899999999999999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 t="s">
        <v>35</v>
      </c>
      <c r="P16" s="13">
        <f>SUM(B15:O15)</f>
        <v>56246.11</v>
      </c>
      <c r="Q16" s="5"/>
    </row>
    <row r="17" spans="1:17" s="11" customFormat="1" ht="19.899999999999999" customHeight="1" x14ac:dyDescent="0.3">
      <c r="A17" s="7" t="s">
        <v>20</v>
      </c>
      <c r="B17" s="8">
        <f>B4*18.8%</f>
        <v>577.9</v>
      </c>
      <c r="C17" s="8">
        <f t="shared" ref="C17:N17" si="11">C4*18.8%</f>
        <v>577.9</v>
      </c>
      <c r="D17" s="8">
        <f t="shared" si="11"/>
        <v>577.9</v>
      </c>
      <c r="E17" s="8">
        <f t="shared" si="11"/>
        <v>577.9</v>
      </c>
      <c r="F17" s="8">
        <f t="shared" si="11"/>
        <v>577.9</v>
      </c>
      <c r="G17" s="8"/>
      <c r="H17" s="8">
        <f t="shared" si="11"/>
        <v>577.9</v>
      </c>
      <c r="I17" s="8">
        <f t="shared" si="11"/>
        <v>577.9</v>
      </c>
      <c r="J17" s="8">
        <f t="shared" si="11"/>
        <v>620.4</v>
      </c>
      <c r="K17" s="8">
        <f t="shared" si="11"/>
        <v>620.4</v>
      </c>
      <c r="L17" s="8">
        <f t="shared" si="11"/>
        <v>620.4</v>
      </c>
      <c r="M17" s="8">
        <f t="shared" si="11"/>
        <v>620.4</v>
      </c>
      <c r="N17" s="8">
        <f t="shared" si="11"/>
        <v>620.4</v>
      </c>
      <c r="O17" s="8"/>
      <c r="P17" s="9">
        <f>SUM(B17:O17)</f>
        <v>7147.3</v>
      </c>
      <c r="Q17" s="10"/>
    </row>
    <row r="18" spans="1:17" s="11" customFormat="1" ht="19.899999999999999" customHeight="1" x14ac:dyDescent="0.3">
      <c r="A18" s="7" t="s">
        <v>21</v>
      </c>
      <c r="B18" s="8">
        <f>$O10/12</f>
        <v>345.27</v>
      </c>
      <c r="C18" s="8">
        <f t="shared" ref="C18:N18" si="12">$O10/12</f>
        <v>345.27</v>
      </c>
      <c r="D18" s="8">
        <f t="shared" si="12"/>
        <v>345.27</v>
      </c>
      <c r="E18" s="8">
        <f t="shared" si="12"/>
        <v>345.27</v>
      </c>
      <c r="F18" s="8">
        <f t="shared" si="12"/>
        <v>345.27</v>
      </c>
      <c r="G18" s="8"/>
      <c r="H18" s="8">
        <f t="shared" si="12"/>
        <v>345.27</v>
      </c>
      <c r="I18" s="8">
        <f t="shared" si="12"/>
        <v>345.27</v>
      </c>
      <c r="J18" s="8">
        <f t="shared" si="12"/>
        <v>345.27</v>
      </c>
      <c r="K18" s="8">
        <f t="shared" si="12"/>
        <v>345.27</v>
      </c>
      <c r="L18" s="8">
        <f t="shared" si="12"/>
        <v>345.27</v>
      </c>
      <c r="M18" s="8">
        <f t="shared" si="12"/>
        <v>345.27</v>
      </c>
      <c r="N18" s="8">
        <f t="shared" si="12"/>
        <v>345.27</v>
      </c>
      <c r="O18" s="8"/>
      <c r="P18" s="9">
        <f>SUM(B18:O18)</f>
        <v>4143.24</v>
      </c>
      <c r="Q18" s="10"/>
    </row>
    <row r="20" spans="1:17" s="11" customFormat="1" ht="19.899999999999999" customHeight="1" x14ac:dyDescent="0.3">
      <c r="A20" s="7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>SUM(B20:O20)</f>
        <v>0</v>
      </c>
      <c r="Q20" s="10"/>
    </row>
    <row r="21" spans="1:17" x14ac:dyDescent="0.3">
      <c r="O21"/>
    </row>
    <row r="22" spans="1:17" x14ac:dyDescent="0.3">
      <c r="B22" s="1">
        <f t="shared" ref="B22:F22" si="13">B13/6.87</f>
        <v>20</v>
      </c>
      <c r="C22" s="1">
        <f t="shared" si="13"/>
        <v>20</v>
      </c>
      <c r="D22" s="1">
        <f t="shared" si="13"/>
        <v>20</v>
      </c>
      <c r="E22" s="1">
        <f t="shared" si="13"/>
        <v>20</v>
      </c>
      <c r="F22" s="1">
        <f t="shared" si="13"/>
        <v>20</v>
      </c>
      <c r="H22" s="1">
        <f>H13/6.87</f>
        <v>20</v>
      </c>
      <c r="I22" s="1">
        <f t="shared" ref="I22:N22" si="14">I13/6.87</f>
        <v>20</v>
      </c>
      <c r="J22" s="1">
        <f t="shared" si="14"/>
        <v>10</v>
      </c>
      <c r="K22" s="1">
        <f t="shared" si="14"/>
        <v>20</v>
      </c>
      <c r="L22" s="1">
        <f t="shared" si="14"/>
        <v>20</v>
      </c>
      <c r="M22" s="1">
        <f t="shared" si="14"/>
        <v>20</v>
      </c>
      <c r="N22" s="1">
        <f t="shared" si="14"/>
        <v>15</v>
      </c>
      <c r="O22" s="13"/>
      <c r="P22" s="2">
        <f>SUM(B22:O22)</f>
        <v>225</v>
      </c>
    </row>
    <row r="23" spans="1:17" ht="12.5" x14ac:dyDescent="0.25">
      <c r="P23" s="1"/>
    </row>
    <row r="24" spans="1:17" x14ac:dyDescent="0.3">
      <c r="O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2018</vt:lpstr>
      <vt:lpstr>Michaël</vt:lpstr>
      <vt:lpstr>Juliana</vt:lpstr>
      <vt:lpstr>Georgina</vt:lpstr>
      <vt:lpstr>Julie</vt:lpstr>
      <vt:lpstr>Claire</vt:lpstr>
      <vt:lpstr>AnneSoph</vt:lpstr>
      <vt:lpstr>Vivienne</vt:lpstr>
      <vt:lpstr>Sarah</vt:lpstr>
      <vt:lpstr>Junior Sec</vt:lpstr>
      <vt:lpstr>Budget</vt:lpstr>
      <vt:lpstr>x</vt:lpstr>
      <vt:lpstr>CR</vt:lpstr>
      <vt:lpstr>Assurances</vt:lpstr>
      <vt:lpstr>Jours travaillés</vt:lpstr>
      <vt:lpstr>'2018'!Print_Area</vt:lpstr>
      <vt:lpstr>'2018'!Print_Titles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Petermans</dc:creator>
  <cp:lastModifiedBy>Myriam De Feyter</cp:lastModifiedBy>
  <cp:lastPrinted>2017-03-27T14:55:38Z</cp:lastPrinted>
  <dcterms:created xsi:type="dcterms:W3CDTF">2009-04-07T09:34:34Z</dcterms:created>
  <dcterms:modified xsi:type="dcterms:W3CDTF">2017-03-27T14:55:54Z</dcterms:modified>
</cp:coreProperties>
</file>